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772943\Downloads\"/>
    </mc:Choice>
  </mc:AlternateContent>
  <xr:revisionPtr revIDLastSave="0" documentId="13_ncr:1_{F7F6A876-1C6B-4EE0-97C3-4D92ECC2BA8D}" xr6:coauthVersionLast="47" xr6:coauthVersionMax="47" xr10:uidLastSave="{00000000-0000-0000-0000-000000000000}"/>
  <workbookProtection workbookAlgorithmName="SHA-512" workbookHashValue="jnyANRZPP8xEtEWIFZ02E2liAGjMmg3FmnVIe3ah0t6Lk/a+OFcFoVfEPb2MoIiAKXe8draTy50aTSoutCmAsg==" workbookSaltValue="B2uqYiCd4lZtuqz6Xm0Csg==" workbookSpinCount="100000" lockStructure="1"/>
  <bookViews>
    <workbookView xWindow="-120" yWindow="-120" windowWidth="29040" windowHeight="15720" tabRatio="855" xr2:uid="{2F7E467D-F9ED-497F-895C-37922D62E17C}"/>
  </bookViews>
  <sheets>
    <sheet name="宿泊者名簿" sheetId="8" r:id="rId1"/>
    <sheet name="宿泊者内訳" sheetId="22" state="hidden" r:id="rId2"/>
    <sheet name="食事申込書" sheetId="12" r:id="rId3"/>
    <sheet name="活動申込" sheetId="7" r:id="rId4"/>
    <sheet name="計画案（入力不可）" sheetId="21" r:id="rId5"/>
    <sheet name="宿泊利用許可申請書(入力不可)" sheetId="15" r:id="rId6"/>
    <sheet name="＜表示→印刷＞宿泊利用許可書" sheetId="16" state="hidden" r:id="rId7"/>
    <sheet name="＜表示→コピペ＞活動計画まとめ" sheetId="13" state="hidden" r:id="rId8"/>
    <sheet name="＜表示→コピペ＞利用団体一覧" sheetId="17" state="hidden" r:id="rId9"/>
  </sheets>
  <definedNames>
    <definedName name="a" localSheetId="6">#REF!</definedName>
    <definedName name="a">#REF!</definedName>
    <definedName name="de" localSheetId="6">#REF!</definedName>
    <definedName name="de">#REF!</definedName>
    <definedName name="ll" localSheetId="6">#REF!</definedName>
    <definedName name="ll">#REF!</definedName>
    <definedName name="_xlnm.Print_Area" localSheetId="6">'＜表示→印刷＞宿泊利用許可書'!$B$1:$AM$49</definedName>
    <definedName name="_xlnm.Print_Area" localSheetId="4">'計画案（入力不可）'!$A$1:$AD$73</definedName>
    <definedName name="_xlnm.Print_Area" localSheetId="1">宿泊者内訳!$A$1:$S$55</definedName>
    <definedName name="_xlnm.Print_Area" localSheetId="0">宿泊者名簿!$A$3:$S$422</definedName>
    <definedName name="_xlnm.Print_Area" localSheetId="5">'宿泊利用許可申請書(入力不可)'!$B$1:$AM$60</definedName>
    <definedName name="_xlnm.Print_Area" localSheetId="2">食事申込書!$A$1:$BZ$61</definedName>
    <definedName name="_xlnm.Print_Titles" localSheetId="0">宿泊者名簿!$3:$21</definedName>
    <definedName name="sa" localSheetId="6">#REF!</definedName>
    <definedName name="sa">#REF!</definedName>
    <definedName name="データ範囲" localSheetId="6">#REF!</definedName>
    <definedName name="データ範囲">#REF!</definedName>
    <definedName name="学校番号" localSheetId="6">#REF!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2" l="1"/>
  <c r="P4" i="22"/>
  <c r="M4" i="22"/>
  <c r="R10" i="22"/>
  <c r="P10" i="22"/>
  <c r="N10" i="22"/>
  <c r="L10" i="22"/>
  <c r="J10" i="22"/>
  <c r="I9" i="22"/>
  <c r="I7" i="22"/>
  <c r="I6" i="22"/>
  <c r="K5" i="22"/>
  <c r="J5" i="22"/>
  <c r="I5" i="22"/>
  <c r="D10" i="22"/>
  <c r="D9" i="22"/>
  <c r="D8" i="22"/>
  <c r="D7" i="22"/>
  <c r="D6" i="22"/>
  <c r="A5" i="22"/>
  <c r="Y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AA63" i="8"/>
  <c r="AA64" i="8"/>
  <c r="AA65" i="8"/>
  <c r="AA66" i="8"/>
  <c r="AA67" i="8"/>
  <c r="AA68" i="8"/>
  <c r="AA69" i="8"/>
  <c r="AA70" i="8"/>
  <c r="AA71" i="8"/>
  <c r="AA72" i="8"/>
  <c r="AA73" i="8"/>
  <c r="AA74" i="8"/>
  <c r="AA75" i="8"/>
  <c r="AA76" i="8"/>
  <c r="AA77" i="8"/>
  <c r="AA78" i="8"/>
  <c r="AA79" i="8"/>
  <c r="AA80" i="8"/>
  <c r="AA81" i="8"/>
  <c r="AA82" i="8"/>
  <c r="AA83" i="8"/>
  <c r="AA84" i="8"/>
  <c r="AA85" i="8"/>
  <c r="AA86" i="8"/>
  <c r="AA87" i="8"/>
  <c r="AA88" i="8"/>
  <c r="AA89" i="8"/>
  <c r="AA90" i="8"/>
  <c r="AA91" i="8"/>
  <c r="AA92" i="8"/>
  <c r="AA93" i="8"/>
  <c r="AA94" i="8"/>
  <c r="AA95" i="8"/>
  <c r="AA96" i="8"/>
  <c r="AA97" i="8"/>
  <c r="AA98" i="8"/>
  <c r="AA99" i="8"/>
  <c r="AA100" i="8"/>
  <c r="AA101" i="8"/>
  <c r="AA102" i="8"/>
  <c r="AA103" i="8"/>
  <c r="AA104" i="8"/>
  <c r="AA105" i="8"/>
  <c r="AA106" i="8"/>
  <c r="AA107" i="8"/>
  <c r="AA108" i="8"/>
  <c r="AA109" i="8"/>
  <c r="AA110" i="8"/>
  <c r="AA111" i="8"/>
  <c r="AA112" i="8"/>
  <c r="AA113" i="8"/>
  <c r="AA114" i="8"/>
  <c r="AA115" i="8"/>
  <c r="AA116" i="8"/>
  <c r="AA117" i="8"/>
  <c r="AA118" i="8"/>
  <c r="AA119" i="8"/>
  <c r="AA120" i="8"/>
  <c r="AA121" i="8"/>
  <c r="AA122" i="8"/>
  <c r="AA123" i="8"/>
  <c r="AA124" i="8"/>
  <c r="AA125" i="8"/>
  <c r="AA126" i="8"/>
  <c r="AA127" i="8"/>
  <c r="AA128" i="8"/>
  <c r="AA129" i="8"/>
  <c r="AA130" i="8"/>
  <c r="AA131" i="8"/>
  <c r="AA132" i="8"/>
  <c r="AA133" i="8"/>
  <c r="AA134" i="8"/>
  <c r="AA135" i="8"/>
  <c r="AA136" i="8"/>
  <c r="AA137" i="8"/>
  <c r="AA138" i="8"/>
  <c r="AA139" i="8"/>
  <c r="AA140" i="8"/>
  <c r="AA141" i="8"/>
  <c r="AA142" i="8"/>
  <c r="AA143" i="8"/>
  <c r="AA144" i="8"/>
  <c r="AA145" i="8"/>
  <c r="AA146" i="8"/>
  <c r="AA147" i="8"/>
  <c r="AA148" i="8"/>
  <c r="AA149" i="8"/>
  <c r="AA150" i="8"/>
  <c r="AA151" i="8"/>
  <c r="AA152" i="8"/>
  <c r="AA153" i="8"/>
  <c r="AA154" i="8"/>
  <c r="AA155" i="8"/>
  <c r="AA156" i="8"/>
  <c r="AA157" i="8"/>
  <c r="AA158" i="8"/>
  <c r="AA159" i="8"/>
  <c r="AA160" i="8"/>
  <c r="AA161" i="8"/>
  <c r="AA162" i="8"/>
  <c r="AA163" i="8"/>
  <c r="AA164" i="8"/>
  <c r="AA165" i="8"/>
  <c r="AA166" i="8"/>
  <c r="AA167" i="8"/>
  <c r="AA168" i="8"/>
  <c r="AA169" i="8"/>
  <c r="AA170" i="8"/>
  <c r="AA171" i="8"/>
  <c r="AA172" i="8"/>
  <c r="AA173" i="8"/>
  <c r="AA174" i="8"/>
  <c r="AA175" i="8"/>
  <c r="AA176" i="8"/>
  <c r="AA177" i="8"/>
  <c r="AA178" i="8"/>
  <c r="AA179" i="8"/>
  <c r="AA180" i="8"/>
  <c r="AA181" i="8"/>
  <c r="AA182" i="8"/>
  <c r="AA183" i="8"/>
  <c r="AA184" i="8"/>
  <c r="AA185" i="8"/>
  <c r="AA186" i="8"/>
  <c r="AA187" i="8"/>
  <c r="AA188" i="8"/>
  <c r="AA189" i="8"/>
  <c r="AA190" i="8"/>
  <c r="AA191" i="8"/>
  <c r="AA192" i="8"/>
  <c r="AA193" i="8"/>
  <c r="AA194" i="8"/>
  <c r="AA195" i="8"/>
  <c r="AA196" i="8"/>
  <c r="AA197" i="8"/>
  <c r="AA198" i="8"/>
  <c r="AA199" i="8"/>
  <c r="AA200" i="8"/>
  <c r="AA201" i="8"/>
  <c r="AA202" i="8"/>
  <c r="AA203" i="8"/>
  <c r="AA204" i="8"/>
  <c r="AA205" i="8"/>
  <c r="AA206" i="8"/>
  <c r="AA207" i="8"/>
  <c r="AA208" i="8"/>
  <c r="AA209" i="8"/>
  <c r="AA210" i="8"/>
  <c r="AA211" i="8"/>
  <c r="AA212" i="8"/>
  <c r="AA213" i="8"/>
  <c r="AA214" i="8"/>
  <c r="AA215" i="8"/>
  <c r="AA216" i="8"/>
  <c r="AA217" i="8"/>
  <c r="AA218" i="8"/>
  <c r="AA219" i="8"/>
  <c r="AA220" i="8"/>
  <c r="AA221" i="8"/>
  <c r="AA222" i="8"/>
  <c r="AA223" i="8"/>
  <c r="AA224" i="8"/>
  <c r="AA225" i="8"/>
  <c r="AA226" i="8"/>
  <c r="AA227" i="8"/>
  <c r="AA228" i="8"/>
  <c r="AA229" i="8"/>
  <c r="AA230" i="8"/>
  <c r="AA231" i="8"/>
  <c r="AA232" i="8"/>
  <c r="AA233" i="8"/>
  <c r="AA234" i="8"/>
  <c r="AA235" i="8"/>
  <c r="AA236" i="8"/>
  <c r="AA237" i="8"/>
  <c r="AA238" i="8"/>
  <c r="AA239" i="8"/>
  <c r="AA240" i="8"/>
  <c r="AA241" i="8"/>
  <c r="AA242" i="8"/>
  <c r="AA243" i="8"/>
  <c r="AA244" i="8"/>
  <c r="AA245" i="8"/>
  <c r="AA246" i="8"/>
  <c r="AA247" i="8"/>
  <c r="AA248" i="8"/>
  <c r="AA249" i="8"/>
  <c r="AA250" i="8"/>
  <c r="AA251" i="8"/>
  <c r="AA252" i="8"/>
  <c r="AA253" i="8"/>
  <c r="AA254" i="8"/>
  <c r="AA255" i="8"/>
  <c r="AA256" i="8"/>
  <c r="AA257" i="8"/>
  <c r="AA258" i="8"/>
  <c r="AA259" i="8"/>
  <c r="AA260" i="8"/>
  <c r="AA261" i="8"/>
  <c r="AA262" i="8"/>
  <c r="AA263" i="8"/>
  <c r="AA264" i="8"/>
  <c r="AA265" i="8"/>
  <c r="AA266" i="8"/>
  <c r="AA267" i="8"/>
  <c r="AA268" i="8"/>
  <c r="AA269" i="8"/>
  <c r="AA270" i="8"/>
  <c r="AA271" i="8"/>
  <c r="AA272" i="8"/>
  <c r="AA273" i="8"/>
  <c r="AA274" i="8"/>
  <c r="AA275" i="8"/>
  <c r="AA276" i="8"/>
  <c r="AA277" i="8"/>
  <c r="AA278" i="8"/>
  <c r="AA279" i="8"/>
  <c r="AA280" i="8"/>
  <c r="AA281" i="8"/>
  <c r="AA282" i="8"/>
  <c r="AA283" i="8"/>
  <c r="AA284" i="8"/>
  <c r="AA285" i="8"/>
  <c r="AA286" i="8"/>
  <c r="AA287" i="8"/>
  <c r="AA288" i="8"/>
  <c r="AA289" i="8"/>
  <c r="AA290" i="8"/>
  <c r="AA291" i="8"/>
  <c r="AA292" i="8"/>
  <c r="AA293" i="8"/>
  <c r="AA294" i="8"/>
  <c r="AA295" i="8"/>
  <c r="AA296" i="8"/>
  <c r="AA297" i="8"/>
  <c r="AA298" i="8"/>
  <c r="AA299" i="8"/>
  <c r="AA300" i="8"/>
  <c r="AA301" i="8"/>
  <c r="AA302" i="8"/>
  <c r="AA303" i="8"/>
  <c r="AA304" i="8"/>
  <c r="AA305" i="8"/>
  <c r="AA306" i="8"/>
  <c r="AA307" i="8"/>
  <c r="AA308" i="8"/>
  <c r="AA309" i="8"/>
  <c r="AA310" i="8"/>
  <c r="AA311" i="8"/>
  <c r="AA312" i="8"/>
  <c r="AA313" i="8"/>
  <c r="AA314" i="8"/>
  <c r="AA315" i="8"/>
  <c r="AA316" i="8"/>
  <c r="AA317" i="8"/>
  <c r="AA318" i="8"/>
  <c r="AA319" i="8"/>
  <c r="AA320" i="8"/>
  <c r="AA321" i="8"/>
  <c r="AA322" i="8"/>
  <c r="AA323" i="8"/>
  <c r="AA324" i="8"/>
  <c r="AA325" i="8"/>
  <c r="AA326" i="8"/>
  <c r="AA327" i="8"/>
  <c r="AA328" i="8"/>
  <c r="AA329" i="8"/>
  <c r="AA330" i="8"/>
  <c r="AA331" i="8"/>
  <c r="AA332" i="8"/>
  <c r="AA333" i="8"/>
  <c r="AA334" i="8"/>
  <c r="AA335" i="8"/>
  <c r="AA336" i="8"/>
  <c r="AA337" i="8"/>
  <c r="AA338" i="8"/>
  <c r="AA339" i="8"/>
  <c r="AA340" i="8"/>
  <c r="AA341" i="8"/>
  <c r="AA342" i="8"/>
  <c r="AA343" i="8"/>
  <c r="AA344" i="8"/>
  <c r="AA345" i="8"/>
  <c r="AA346" i="8"/>
  <c r="AA347" i="8"/>
  <c r="AA348" i="8"/>
  <c r="AA349" i="8"/>
  <c r="AA350" i="8"/>
  <c r="AA351" i="8"/>
  <c r="AA352" i="8"/>
  <c r="AA353" i="8"/>
  <c r="AA354" i="8"/>
  <c r="AA355" i="8"/>
  <c r="AA356" i="8"/>
  <c r="AA357" i="8"/>
  <c r="AA358" i="8"/>
  <c r="AA359" i="8"/>
  <c r="AA360" i="8"/>
  <c r="AA361" i="8"/>
  <c r="AA362" i="8"/>
  <c r="AA363" i="8"/>
  <c r="AA364" i="8"/>
  <c r="AA365" i="8"/>
  <c r="AA366" i="8"/>
  <c r="AA367" i="8"/>
  <c r="AA368" i="8"/>
  <c r="AA369" i="8"/>
  <c r="AA370" i="8"/>
  <c r="AA371" i="8"/>
  <c r="AA372" i="8"/>
  <c r="AA373" i="8"/>
  <c r="AA374" i="8"/>
  <c r="AA375" i="8"/>
  <c r="AA376" i="8"/>
  <c r="AA377" i="8"/>
  <c r="AA378" i="8"/>
  <c r="AA379" i="8"/>
  <c r="AA380" i="8"/>
  <c r="AA381" i="8"/>
  <c r="AA382" i="8"/>
  <c r="AA383" i="8"/>
  <c r="AA384" i="8"/>
  <c r="AA385" i="8"/>
  <c r="AA386" i="8"/>
  <c r="AA387" i="8"/>
  <c r="AA388" i="8"/>
  <c r="AA389" i="8"/>
  <c r="AA390" i="8"/>
  <c r="AA391" i="8"/>
  <c r="AA392" i="8"/>
  <c r="AA393" i="8"/>
  <c r="AA394" i="8"/>
  <c r="AA395" i="8"/>
  <c r="AA396" i="8"/>
  <c r="AA397" i="8"/>
  <c r="AA398" i="8"/>
  <c r="AA399" i="8"/>
  <c r="AA400" i="8"/>
  <c r="AA401" i="8"/>
  <c r="AA402" i="8"/>
  <c r="AA403" i="8"/>
  <c r="AA404" i="8"/>
  <c r="AA405" i="8"/>
  <c r="AA406" i="8"/>
  <c r="AA407" i="8"/>
  <c r="AA408" i="8"/>
  <c r="AA409" i="8"/>
  <c r="AA410" i="8"/>
  <c r="AA411" i="8"/>
  <c r="AA412" i="8"/>
  <c r="AA413" i="8"/>
  <c r="AA414" i="8"/>
  <c r="AA415" i="8"/>
  <c r="AA416" i="8"/>
  <c r="AA417" i="8"/>
  <c r="AA418" i="8"/>
  <c r="AA419" i="8"/>
  <c r="AA420" i="8"/>
  <c r="AA421" i="8"/>
  <c r="AA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R8" i="22"/>
  <c r="P8" i="22"/>
  <c r="R7" i="22"/>
  <c r="P7" i="22"/>
  <c r="R6" i="22"/>
  <c r="P6" i="22"/>
  <c r="R5" i="22"/>
  <c r="P5" i="22"/>
  <c r="P2" i="22"/>
  <c r="M1" i="21"/>
  <c r="S1" i="21"/>
  <c r="W10" i="8"/>
  <c r="A1" i="21" s="1"/>
  <c r="G1" i="21" s="1"/>
  <c r="I19" i="12"/>
  <c r="CC15" i="7" s="1"/>
  <c r="CE15" i="7"/>
  <c r="CD15" i="7"/>
  <c r="CL15" i="7"/>
  <c r="CI15" i="7"/>
  <c r="O19" i="12"/>
  <c r="I22" i="12"/>
  <c r="CF15" i="7" s="1"/>
  <c r="O22" i="12"/>
  <c r="U22" i="12"/>
  <c r="AA22" i="12"/>
  <c r="AG22" i="12"/>
  <c r="AG19" i="12"/>
  <c r="AA19" i="12"/>
  <c r="U19" i="12"/>
  <c r="CI21" i="12"/>
  <c r="CS19" i="7" s="1"/>
  <c r="CI20" i="12"/>
  <c r="CI19" i="12"/>
  <c r="CI18" i="12"/>
  <c r="CI17" i="12"/>
  <c r="CH21" i="12"/>
  <c r="CS18" i="7" s="1"/>
  <c r="CH20" i="12"/>
  <c r="CH19" i="12"/>
  <c r="CH18" i="12"/>
  <c r="CH17" i="12"/>
  <c r="CG21" i="12"/>
  <c r="CS17" i="7" s="1"/>
  <c r="CG20" i="12"/>
  <c r="CG19" i="12"/>
  <c r="CG18" i="12"/>
  <c r="CG17" i="12"/>
  <c r="CF21" i="12"/>
  <c r="CS16" i="7" s="1"/>
  <c r="CF20" i="12"/>
  <c r="CF19" i="12"/>
  <c r="CF18" i="12"/>
  <c r="CF17" i="12"/>
  <c r="CI14" i="12"/>
  <c r="CI16" i="12"/>
  <c r="CI15" i="12"/>
  <c r="CP19" i="7" s="1"/>
  <c r="CH16" i="12"/>
  <c r="CH15" i="12"/>
  <c r="CP18" i="7" s="1"/>
  <c r="CH14" i="12"/>
  <c r="CG16" i="12"/>
  <c r="CG15" i="12"/>
  <c r="CP17" i="7" s="1"/>
  <c r="CG14" i="12"/>
  <c r="CF16" i="12"/>
  <c r="CF15" i="12"/>
  <c r="CP16" i="7" s="1"/>
  <c r="CF14" i="12"/>
  <c r="CE21" i="12"/>
  <c r="CS15" i="7" s="1"/>
  <c r="CE20" i="12"/>
  <c r="CE19" i="12"/>
  <c r="CE18" i="12"/>
  <c r="CE17" i="12"/>
  <c r="CE16" i="12"/>
  <c r="CE15" i="12"/>
  <c r="CE14" i="12"/>
  <c r="F54" i="22" l="1"/>
  <c r="N48" i="22"/>
  <c r="J48" i="22"/>
  <c r="N50" i="22"/>
  <c r="R50" i="22"/>
  <c r="F48" i="22"/>
  <c r="R48" i="22"/>
  <c r="J54" i="22"/>
  <c r="F52" i="22"/>
  <c r="N54" i="22"/>
  <c r="J52" i="22"/>
  <c r="F50" i="22"/>
  <c r="N52" i="22"/>
  <c r="J50" i="22"/>
  <c r="F16" i="22"/>
  <c r="J16" i="22"/>
  <c r="H17" i="22" s="1"/>
  <c r="N16" i="22"/>
  <c r="N12" i="22"/>
  <c r="R12" i="22"/>
  <c r="F14" i="22"/>
  <c r="F18" i="22"/>
  <c r="R14" i="22"/>
  <c r="P15" i="22" s="1"/>
  <c r="J12" i="22"/>
  <c r="H13" i="22" s="1"/>
  <c r="J14" i="22"/>
  <c r="H15" i="22" s="1"/>
  <c r="J18" i="22"/>
  <c r="F12" i="22"/>
  <c r="N14" i="22"/>
  <c r="N18" i="22"/>
  <c r="F13" i="22"/>
  <c r="F15" i="22"/>
  <c r="F17" i="22"/>
  <c r="F19" i="22"/>
  <c r="J13" i="22"/>
  <c r="J15" i="22"/>
  <c r="J17" i="22"/>
  <c r="J19" i="22"/>
  <c r="N13" i="22"/>
  <c r="N15" i="22"/>
  <c r="N17" i="22"/>
  <c r="N19" i="22"/>
  <c r="R13" i="22"/>
  <c r="R15" i="22"/>
  <c r="CP15" i="7"/>
  <c r="E1" i="13"/>
  <c r="F1" i="13" s="1"/>
  <c r="CQ17" i="7"/>
  <c r="CQ19" i="7"/>
  <c r="CQ16" i="7"/>
  <c r="CQ18" i="7"/>
  <c r="CQ15" i="7"/>
  <c r="G1" i="13"/>
  <c r="H1" i="13"/>
  <c r="I1" i="13"/>
  <c r="D17" i="22" l="1"/>
  <c r="R52" i="22"/>
  <c r="D19" i="22"/>
  <c r="L19" i="22"/>
  <c r="R54" i="22"/>
  <c r="L15" i="22"/>
  <c r="P13" i="22"/>
  <c r="R19" i="22"/>
  <c r="R17" i="22"/>
  <c r="B16" i="22"/>
  <c r="R16" i="22"/>
  <c r="D13" i="22"/>
  <c r="L13" i="22"/>
  <c r="R18" i="22"/>
  <c r="D15" i="22"/>
  <c r="H19" i="22"/>
  <c r="L17" i="22"/>
  <c r="I44" i="13"/>
  <c r="I43" i="13"/>
  <c r="I42" i="13"/>
  <c r="I41" i="13"/>
  <c r="I40" i="13"/>
  <c r="J46" i="16"/>
  <c r="J54" i="15"/>
  <c r="AD43" i="16"/>
  <c r="Y43" i="16"/>
  <c r="T43" i="16"/>
  <c r="O43" i="16"/>
  <c r="AD40" i="16"/>
  <c r="Y40" i="16"/>
  <c r="T40" i="16"/>
  <c r="O40" i="16"/>
  <c r="AD37" i="16"/>
  <c r="Y37" i="16"/>
  <c r="T37" i="16"/>
  <c r="O37" i="16"/>
  <c r="AD34" i="16"/>
  <c r="Y34" i="16"/>
  <c r="T34" i="16"/>
  <c r="O34" i="16"/>
  <c r="AC421" i="8"/>
  <c r="AC420" i="8"/>
  <c r="AC419" i="8"/>
  <c r="AC418" i="8"/>
  <c r="AC417" i="8"/>
  <c r="AC416" i="8"/>
  <c r="AC415" i="8"/>
  <c r="AC414" i="8"/>
  <c r="AC413" i="8"/>
  <c r="AC412" i="8"/>
  <c r="AC411" i="8"/>
  <c r="AC410" i="8"/>
  <c r="AC409" i="8"/>
  <c r="AC408" i="8"/>
  <c r="AC407" i="8"/>
  <c r="AC406" i="8"/>
  <c r="AC405" i="8"/>
  <c r="AC404" i="8"/>
  <c r="AC403" i="8"/>
  <c r="AC402" i="8"/>
  <c r="AC401" i="8"/>
  <c r="AC400" i="8"/>
  <c r="AC399" i="8"/>
  <c r="AC398" i="8"/>
  <c r="AC397" i="8"/>
  <c r="AC396" i="8"/>
  <c r="AC395" i="8"/>
  <c r="AC394" i="8"/>
  <c r="AC393" i="8"/>
  <c r="AC392" i="8"/>
  <c r="AC391" i="8"/>
  <c r="AC390" i="8"/>
  <c r="AC389" i="8"/>
  <c r="AC388" i="8"/>
  <c r="AC387" i="8"/>
  <c r="AC386" i="8"/>
  <c r="AC385" i="8"/>
  <c r="AC384" i="8"/>
  <c r="AC383" i="8"/>
  <c r="AC382" i="8"/>
  <c r="AC381" i="8"/>
  <c r="AC380" i="8"/>
  <c r="AC379" i="8"/>
  <c r="AC378" i="8"/>
  <c r="AC377" i="8"/>
  <c r="AC376" i="8"/>
  <c r="AC375" i="8"/>
  <c r="AC374" i="8"/>
  <c r="AC373" i="8"/>
  <c r="AC372" i="8"/>
  <c r="AC371" i="8"/>
  <c r="AC370" i="8"/>
  <c r="AC369" i="8"/>
  <c r="AC368" i="8"/>
  <c r="AC367" i="8"/>
  <c r="AC366" i="8"/>
  <c r="AC365" i="8"/>
  <c r="AC364" i="8"/>
  <c r="AC363" i="8"/>
  <c r="AC362" i="8"/>
  <c r="AC361" i="8"/>
  <c r="AC360" i="8"/>
  <c r="AC359" i="8"/>
  <c r="AC358" i="8"/>
  <c r="AC357" i="8"/>
  <c r="AC356" i="8"/>
  <c r="AC355" i="8"/>
  <c r="AC354" i="8"/>
  <c r="AC353" i="8"/>
  <c r="AC352" i="8"/>
  <c r="AC351" i="8"/>
  <c r="AC350" i="8"/>
  <c r="AC349" i="8"/>
  <c r="AC348" i="8"/>
  <c r="AC347" i="8"/>
  <c r="AC346" i="8"/>
  <c r="AC345" i="8"/>
  <c r="AC344" i="8"/>
  <c r="AC343" i="8"/>
  <c r="AC342" i="8"/>
  <c r="AC341" i="8"/>
  <c r="AC340" i="8"/>
  <c r="AC339" i="8"/>
  <c r="AC338" i="8"/>
  <c r="AC337" i="8"/>
  <c r="AC336" i="8"/>
  <c r="AC335" i="8"/>
  <c r="AC334" i="8"/>
  <c r="AC333" i="8"/>
  <c r="AC332" i="8"/>
  <c r="AC331" i="8"/>
  <c r="AC330" i="8"/>
  <c r="AC329" i="8"/>
  <c r="AC328" i="8"/>
  <c r="AC327" i="8"/>
  <c r="AC326" i="8"/>
  <c r="AC325" i="8"/>
  <c r="AC324" i="8"/>
  <c r="AC323" i="8"/>
  <c r="AC322" i="8"/>
  <c r="AC321" i="8"/>
  <c r="AC320" i="8"/>
  <c r="AC319" i="8"/>
  <c r="AC318" i="8"/>
  <c r="AC317" i="8"/>
  <c r="AC316" i="8"/>
  <c r="AC315" i="8"/>
  <c r="AC314" i="8"/>
  <c r="AC313" i="8"/>
  <c r="AC312" i="8"/>
  <c r="AC311" i="8"/>
  <c r="AC310" i="8"/>
  <c r="AC309" i="8"/>
  <c r="AC308" i="8"/>
  <c r="AC307" i="8"/>
  <c r="AC306" i="8"/>
  <c r="AC305" i="8"/>
  <c r="AC304" i="8"/>
  <c r="AC303" i="8"/>
  <c r="AC302" i="8"/>
  <c r="AC301" i="8"/>
  <c r="AC300" i="8"/>
  <c r="AC299" i="8"/>
  <c r="AC298" i="8"/>
  <c r="AC297" i="8"/>
  <c r="AC296" i="8"/>
  <c r="AC295" i="8"/>
  <c r="AC294" i="8"/>
  <c r="AC293" i="8"/>
  <c r="AC292" i="8"/>
  <c r="AC291" i="8"/>
  <c r="AC290" i="8"/>
  <c r="AC289" i="8"/>
  <c r="AC288" i="8"/>
  <c r="AC287" i="8"/>
  <c r="AC286" i="8"/>
  <c r="AC285" i="8"/>
  <c r="AC284" i="8"/>
  <c r="AC283" i="8"/>
  <c r="AC282" i="8"/>
  <c r="AC281" i="8"/>
  <c r="AC280" i="8"/>
  <c r="AC279" i="8"/>
  <c r="AC278" i="8"/>
  <c r="AC277" i="8"/>
  <c r="AC276" i="8"/>
  <c r="AC275" i="8"/>
  <c r="AC274" i="8"/>
  <c r="AC273" i="8"/>
  <c r="AC272" i="8"/>
  <c r="AC271" i="8"/>
  <c r="AC270" i="8"/>
  <c r="AC269" i="8"/>
  <c r="AC268" i="8"/>
  <c r="AC267" i="8"/>
  <c r="AC266" i="8"/>
  <c r="AC265" i="8"/>
  <c r="AC264" i="8"/>
  <c r="AC263" i="8"/>
  <c r="AC262" i="8"/>
  <c r="AC261" i="8"/>
  <c r="AC260" i="8"/>
  <c r="AC259" i="8"/>
  <c r="AC258" i="8"/>
  <c r="AC257" i="8"/>
  <c r="AC256" i="8"/>
  <c r="AC255" i="8"/>
  <c r="AC254" i="8"/>
  <c r="AC253" i="8"/>
  <c r="AC252" i="8"/>
  <c r="AC251" i="8"/>
  <c r="AC250" i="8"/>
  <c r="AC249" i="8"/>
  <c r="AC248" i="8"/>
  <c r="AC247" i="8"/>
  <c r="AC246" i="8"/>
  <c r="AC245" i="8"/>
  <c r="AC244" i="8"/>
  <c r="AC243" i="8"/>
  <c r="AC242" i="8"/>
  <c r="AC241" i="8"/>
  <c r="AC240" i="8"/>
  <c r="AC239" i="8"/>
  <c r="AC238" i="8"/>
  <c r="AC237" i="8"/>
  <c r="AC236" i="8"/>
  <c r="AC235" i="8"/>
  <c r="AC234" i="8"/>
  <c r="AC233" i="8"/>
  <c r="AC232" i="8"/>
  <c r="AC231" i="8"/>
  <c r="AC230" i="8"/>
  <c r="AC229" i="8"/>
  <c r="AC228" i="8"/>
  <c r="AC227" i="8"/>
  <c r="AC226" i="8"/>
  <c r="AC225" i="8"/>
  <c r="AC224" i="8"/>
  <c r="AC223" i="8"/>
  <c r="AC222" i="8"/>
  <c r="AC221" i="8"/>
  <c r="AC220" i="8"/>
  <c r="AC219" i="8"/>
  <c r="AC218" i="8"/>
  <c r="AC217" i="8"/>
  <c r="AC216" i="8"/>
  <c r="AC215" i="8"/>
  <c r="AC214" i="8"/>
  <c r="AC213" i="8"/>
  <c r="AC212" i="8"/>
  <c r="AC211" i="8"/>
  <c r="AC210" i="8"/>
  <c r="AC209" i="8"/>
  <c r="AC208" i="8"/>
  <c r="AC207" i="8"/>
  <c r="AC206" i="8"/>
  <c r="AC205" i="8"/>
  <c r="AC204" i="8"/>
  <c r="AC203" i="8"/>
  <c r="AC202" i="8"/>
  <c r="AC201" i="8"/>
  <c r="AC200" i="8"/>
  <c r="AC199" i="8"/>
  <c r="AC198" i="8"/>
  <c r="AC197" i="8"/>
  <c r="AC196" i="8"/>
  <c r="AC195" i="8"/>
  <c r="AC194" i="8"/>
  <c r="AC193" i="8"/>
  <c r="AC192" i="8"/>
  <c r="AC191" i="8"/>
  <c r="AC190" i="8"/>
  <c r="AC189" i="8"/>
  <c r="AC188" i="8"/>
  <c r="AC187" i="8"/>
  <c r="AC186" i="8"/>
  <c r="AC185" i="8"/>
  <c r="AC184" i="8"/>
  <c r="AC183" i="8"/>
  <c r="AC182" i="8"/>
  <c r="AC181" i="8"/>
  <c r="AC180" i="8"/>
  <c r="AC179" i="8"/>
  <c r="AC178"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4" i="8"/>
  <c r="AC43" i="8"/>
  <c r="AC42" i="8"/>
  <c r="AC41" i="8"/>
  <c r="AC40" i="8"/>
  <c r="AC39" i="8"/>
  <c r="AC38" i="8"/>
  <c r="AC37" i="8"/>
  <c r="AC36" i="8"/>
  <c r="AC35" i="8"/>
  <c r="AC34" i="8"/>
  <c r="AC33" i="8"/>
  <c r="AC32" i="8"/>
  <c r="AC31" i="8"/>
  <c r="AC30" i="8"/>
  <c r="AC29" i="8"/>
  <c r="AC28" i="8"/>
  <c r="AC27" i="8"/>
  <c r="AC26" i="8"/>
  <c r="AC25" i="8"/>
  <c r="AC24" i="8"/>
  <c r="AC23" i="8"/>
  <c r="AC22" i="8"/>
  <c r="AB421" i="8"/>
  <c r="AB420" i="8"/>
  <c r="AB419" i="8"/>
  <c r="AB418" i="8"/>
  <c r="AB417" i="8"/>
  <c r="AB416" i="8"/>
  <c r="AB415" i="8"/>
  <c r="AB414" i="8"/>
  <c r="AB413" i="8"/>
  <c r="AB412" i="8"/>
  <c r="AB411" i="8"/>
  <c r="AB410" i="8"/>
  <c r="AB409" i="8"/>
  <c r="AB408" i="8"/>
  <c r="AB407" i="8"/>
  <c r="AB406" i="8"/>
  <c r="AB405" i="8"/>
  <c r="AB404" i="8"/>
  <c r="AB403" i="8"/>
  <c r="AB402" i="8"/>
  <c r="AB401" i="8"/>
  <c r="AB400" i="8"/>
  <c r="AB399" i="8"/>
  <c r="AB398" i="8"/>
  <c r="AB397" i="8"/>
  <c r="AB396" i="8"/>
  <c r="AB395" i="8"/>
  <c r="AB394" i="8"/>
  <c r="AB393" i="8"/>
  <c r="AB392" i="8"/>
  <c r="AB391" i="8"/>
  <c r="AB390" i="8"/>
  <c r="AB389" i="8"/>
  <c r="AB388" i="8"/>
  <c r="AB387" i="8"/>
  <c r="AB386" i="8"/>
  <c r="AB385" i="8"/>
  <c r="AB384" i="8"/>
  <c r="AB383" i="8"/>
  <c r="AB382" i="8"/>
  <c r="AB381" i="8"/>
  <c r="AB380" i="8"/>
  <c r="AB379" i="8"/>
  <c r="AB378" i="8"/>
  <c r="AB377" i="8"/>
  <c r="AB376" i="8"/>
  <c r="AB375" i="8"/>
  <c r="AB374" i="8"/>
  <c r="AB373" i="8"/>
  <c r="AB372" i="8"/>
  <c r="AB371" i="8"/>
  <c r="AB370" i="8"/>
  <c r="AB369" i="8"/>
  <c r="AB368" i="8"/>
  <c r="AB367" i="8"/>
  <c r="AB366" i="8"/>
  <c r="AB365" i="8"/>
  <c r="AB364" i="8"/>
  <c r="AB363" i="8"/>
  <c r="AB362" i="8"/>
  <c r="AB361" i="8"/>
  <c r="AB360" i="8"/>
  <c r="AB359" i="8"/>
  <c r="AB358" i="8"/>
  <c r="AB357" i="8"/>
  <c r="AB356" i="8"/>
  <c r="AB355" i="8"/>
  <c r="AB354" i="8"/>
  <c r="AB353" i="8"/>
  <c r="AB352" i="8"/>
  <c r="AB351" i="8"/>
  <c r="AB350" i="8"/>
  <c r="AB349" i="8"/>
  <c r="AB348" i="8"/>
  <c r="AB347" i="8"/>
  <c r="AB346" i="8"/>
  <c r="AB345" i="8"/>
  <c r="AB344" i="8"/>
  <c r="AB343" i="8"/>
  <c r="AB342" i="8"/>
  <c r="AB341" i="8"/>
  <c r="AB340" i="8"/>
  <c r="AB339" i="8"/>
  <c r="AB338" i="8"/>
  <c r="AB337" i="8"/>
  <c r="AB336" i="8"/>
  <c r="AB335" i="8"/>
  <c r="AB334" i="8"/>
  <c r="AB333" i="8"/>
  <c r="AB332" i="8"/>
  <c r="AB331" i="8"/>
  <c r="AB330" i="8"/>
  <c r="AB329" i="8"/>
  <c r="AB328" i="8"/>
  <c r="AB327" i="8"/>
  <c r="AB326" i="8"/>
  <c r="AB325" i="8"/>
  <c r="AB324" i="8"/>
  <c r="AB323" i="8"/>
  <c r="AB322" i="8"/>
  <c r="AB321" i="8"/>
  <c r="AB320" i="8"/>
  <c r="AB319" i="8"/>
  <c r="AB318" i="8"/>
  <c r="AB317" i="8"/>
  <c r="AB316" i="8"/>
  <c r="AB315" i="8"/>
  <c r="AB314" i="8"/>
  <c r="AB313" i="8"/>
  <c r="AB312" i="8"/>
  <c r="AB311" i="8"/>
  <c r="AB310" i="8"/>
  <c r="AB309" i="8"/>
  <c r="AB308" i="8"/>
  <c r="AB307" i="8"/>
  <c r="AB306" i="8"/>
  <c r="AB305" i="8"/>
  <c r="AB304" i="8"/>
  <c r="AB303" i="8"/>
  <c r="AB302" i="8"/>
  <c r="AB301" i="8"/>
  <c r="AB300" i="8"/>
  <c r="AB299" i="8"/>
  <c r="AB298" i="8"/>
  <c r="AB297" i="8"/>
  <c r="AB296" i="8"/>
  <c r="AB295" i="8"/>
  <c r="AB294" i="8"/>
  <c r="AB293" i="8"/>
  <c r="AB292" i="8"/>
  <c r="AB291" i="8"/>
  <c r="AB290" i="8"/>
  <c r="AB289" i="8"/>
  <c r="AB288" i="8"/>
  <c r="AB287" i="8"/>
  <c r="AB286" i="8"/>
  <c r="AB285" i="8"/>
  <c r="AB284" i="8"/>
  <c r="AB283" i="8"/>
  <c r="AB282" i="8"/>
  <c r="AB281" i="8"/>
  <c r="AB280" i="8"/>
  <c r="AB279" i="8"/>
  <c r="AB278" i="8"/>
  <c r="AB277" i="8"/>
  <c r="AB276" i="8"/>
  <c r="AB275" i="8"/>
  <c r="AB274" i="8"/>
  <c r="AB273" i="8"/>
  <c r="AB272" i="8"/>
  <c r="AB271" i="8"/>
  <c r="AB270" i="8"/>
  <c r="AB269" i="8"/>
  <c r="AB268" i="8"/>
  <c r="AB267" i="8"/>
  <c r="AB266" i="8"/>
  <c r="AB265" i="8"/>
  <c r="AB264" i="8"/>
  <c r="AB263" i="8"/>
  <c r="AB262" i="8"/>
  <c r="AB261" i="8"/>
  <c r="AB260" i="8"/>
  <c r="AB259" i="8"/>
  <c r="AB258" i="8"/>
  <c r="AB257" i="8"/>
  <c r="AB256" i="8"/>
  <c r="AB255" i="8"/>
  <c r="AB254" i="8"/>
  <c r="AB253" i="8"/>
  <c r="AB252" i="8"/>
  <c r="AB251" i="8"/>
  <c r="AB250" i="8"/>
  <c r="AB249" i="8"/>
  <c r="AB248" i="8"/>
  <c r="AB247" i="8"/>
  <c r="AB246" i="8"/>
  <c r="AB245" i="8"/>
  <c r="AB244" i="8"/>
  <c r="AB243" i="8"/>
  <c r="AB242" i="8"/>
  <c r="AB241" i="8"/>
  <c r="AB240" i="8"/>
  <c r="AB239" i="8"/>
  <c r="AB238" i="8"/>
  <c r="AB237" i="8"/>
  <c r="AB236" i="8"/>
  <c r="AB235" i="8"/>
  <c r="AB234" i="8"/>
  <c r="AB233" i="8"/>
  <c r="AB232" i="8"/>
  <c r="AB231" i="8"/>
  <c r="AB230" i="8"/>
  <c r="AB229" i="8"/>
  <c r="AB228" i="8"/>
  <c r="AB227" i="8"/>
  <c r="AB226" i="8"/>
  <c r="AB225" i="8"/>
  <c r="AB224" i="8"/>
  <c r="AB223" i="8"/>
  <c r="AB222" i="8"/>
  <c r="AB221" i="8"/>
  <c r="AB220" i="8"/>
  <c r="AB219" i="8"/>
  <c r="AB218" i="8"/>
  <c r="AB217" i="8"/>
  <c r="AB216" i="8"/>
  <c r="AB215" i="8"/>
  <c r="AB214" i="8"/>
  <c r="AB213" i="8"/>
  <c r="AB212" i="8"/>
  <c r="AB211" i="8"/>
  <c r="AB210" i="8"/>
  <c r="AB209" i="8"/>
  <c r="AB208" i="8"/>
  <c r="AB207" i="8"/>
  <c r="AB206" i="8"/>
  <c r="AB205" i="8"/>
  <c r="AB204" i="8"/>
  <c r="AB203" i="8"/>
  <c r="AB202" i="8"/>
  <c r="AB201" i="8"/>
  <c r="AB200" i="8"/>
  <c r="AB199" i="8"/>
  <c r="AB198" i="8"/>
  <c r="AB197" i="8"/>
  <c r="AB196" i="8"/>
  <c r="AB195" i="8"/>
  <c r="AB194" i="8"/>
  <c r="AB193" i="8"/>
  <c r="AB192" i="8"/>
  <c r="AB191" i="8"/>
  <c r="AB190" i="8"/>
  <c r="AB189" i="8"/>
  <c r="AB188" i="8"/>
  <c r="AB187" i="8"/>
  <c r="AB186" i="8"/>
  <c r="AB185" i="8"/>
  <c r="AB184" i="8"/>
  <c r="AB183" i="8"/>
  <c r="AB182" i="8"/>
  <c r="AB181" i="8"/>
  <c r="AB180" i="8"/>
  <c r="AB179" i="8"/>
  <c r="AB178" i="8"/>
  <c r="AB177" i="8"/>
  <c r="AB176" i="8"/>
  <c r="AB175" i="8"/>
  <c r="AB174" i="8"/>
  <c r="AB173" i="8"/>
  <c r="AB172" i="8"/>
  <c r="AB171" i="8"/>
  <c r="AB170" i="8"/>
  <c r="AB169" i="8"/>
  <c r="AB168" i="8"/>
  <c r="AB167" i="8"/>
  <c r="AB166" i="8"/>
  <c r="AB165" i="8"/>
  <c r="AB164" i="8"/>
  <c r="AB163" i="8"/>
  <c r="AB162" i="8"/>
  <c r="AB161" i="8"/>
  <c r="AB160" i="8"/>
  <c r="AB159" i="8"/>
  <c r="AB158" i="8"/>
  <c r="AB157" i="8"/>
  <c r="AB156" i="8"/>
  <c r="AB155" i="8"/>
  <c r="AB154" i="8"/>
  <c r="AB153" i="8"/>
  <c r="AB152" i="8"/>
  <c r="AB151" i="8"/>
  <c r="AB150" i="8"/>
  <c r="AB149" i="8"/>
  <c r="AB148" i="8"/>
  <c r="AB147" i="8"/>
  <c r="AB146" i="8"/>
  <c r="AB145" i="8"/>
  <c r="AB144" i="8"/>
  <c r="AB143" i="8"/>
  <c r="AB142" i="8"/>
  <c r="AB141" i="8"/>
  <c r="AB140" i="8"/>
  <c r="AB139" i="8"/>
  <c r="AB138" i="8"/>
  <c r="AB137" i="8"/>
  <c r="AB136" i="8"/>
  <c r="AB135" i="8"/>
  <c r="AB134" i="8"/>
  <c r="AB133" i="8"/>
  <c r="AB132" i="8"/>
  <c r="AB131" i="8"/>
  <c r="AB130" i="8"/>
  <c r="AB129" i="8"/>
  <c r="AB128" i="8"/>
  <c r="AB127" i="8"/>
  <c r="AB126" i="8"/>
  <c r="AB125" i="8"/>
  <c r="AB124" i="8"/>
  <c r="AB123" i="8"/>
  <c r="AB122" i="8"/>
  <c r="AB121" i="8"/>
  <c r="AB120" i="8"/>
  <c r="AB119" i="8"/>
  <c r="AB118" i="8"/>
  <c r="AB117" i="8"/>
  <c r="AB116" i="8"/>
  <c r="AB115" i="8"/>
  <c r="AB114" i="8"/>
  <c r="AB113" i="8"/>
  <c r="AB112" i="8"/>
  <c r="AB111" i="8"/>
  <c r="AB110" i="8"/>
  <c r="AB109" i="8"/>
  <c r="AB108" i="8"/>
  <c r="AB107" i="8"/>
  <c r="AB106" i="8"/>
  <c r="AB105" i="8"/>
  <c r="AB104" i="8"/>
  <c r="AB10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AD51" i="15"/>
  <c r="Y51" i="15"/>
  <c r="T51" i="15"/>
  <c r="O51" i="15"/>
  <c r="AD48" i="15"/>
  <c r="Y48" i="15"/>
  <c r="T48" i="15"/>
  <c r="O48" i="15"/>
  <c r="AD45" i="15"/>
  <c r="Y45" i="15"/>
  <c r="T45" i="15"/>
  <c r="O45" i="15"/>
  <c r="AD42" i="15"/>
  <c r="Y42" i="15"/>
  <c r="O42" i="15"/>
  <c r="T42" i="15"/>
  <c r="P17" i="22" l="1"/>
  <c r="P19" i="22"/>
  <c r="K43" i="15"/>
  <c r="K46" i="15"/>
  <c r="K49" i="15"/>
  <c r="K52" i="15"/>
  <c r="K34" i="16"/>
  <c r="K44" i="16"/>
  <c r="K35" i="16"/>
  <c r="K37" i="16"/>
  <c r="K38" i="16"/>
  <c r="K40" i="16"/>
  <c r="K41" i="16"/>
  <c r="K43" i="16"/>
  <c r="K42" i="15"/>
  <c r="K45" i="15"/>
  <c r="K48" i="15"/>
  <c r="K51" i="15"/>
  <c r="K45" i="16" l="1"/>
  <c r="K36" i="16"/>
  <c r="K42" i="16"/>
  <c r="K39" i="16"/>
  <c r="F16" i="13"/>
  <c r="F15" i="13"/>
  <c r="E13" i="13"/>
  <c r="E12" i="13"/>
  <c r="E11" i="13"/>
  <c r="G7" i="13"/>
  <c r="G6" i="13"/>
  <c r="G5" i="13"/>
  <c r="I62" i="13" l="1"/>
  <c r="H62" i="13"/>
  <c r="G62" i="13"/>
  <c r="I96" i="13" l="1"/>
  <c r="I95" i="13"/>
  <c r="I94" i="13"/>
  <c r="I93" i="13"/>
  <c r="H96" i="13"/>
  <c r="H95" i="13"/>
  <c r="H94" i="13"/>
  <c r="H93" i="13"/>
  <c r="G96" i="13"/>
  <c r="G95" i="13"/>
  <c r="G94" i="13"/>
  <c r="G93" i="13"/>
  <c r="F96" i="13"/>
  <c r="F95" i="13"/>
  <c r="F94" i="13"/>
  <c r="F93" i="13"/>
  <c r="E96" i="13"/>
  <c r="E95" i="13"/>
  <c r="E94" i="13"/>
  <c r="E93" i="13"/>
  <c r="H43" i="13"/>
  <c r="H42" i="13"/>
  <c r="H41" i="13"/>
  <c r="H40" i="13"/>
  <c r="G43" i="13"/>
  <c r="G42" i="13"/>
  <c r="G41" i="13"/>
  <c r="G40" i="13"/>
  <c r="F43" i="13"/>
  <c r="F42" i="13"/>
  <c r="F41" i="13"/>
  <c r="F40" i="13"/>
  <c r="I86" i="13"/>
  <c r="I85" i="13"/>
  <c r="I84" i="13"/>
  <c r="I83" i="13"/>
  <c r="H86" i="13"/>
  <c r="H85" i="13"/>
  <c r="H84" i="13"/>
  <c r="H83" i="13"/>
  <c r="E43" i="13"/>
  <c r="E42" i="13"/>
  <c r="E41" i="13"/>
  <c r="E40" i="13"/>
  <c r="G86" i="13"/>
  <c r="G85" i="13"/>
  <c r="G84" i="13"/>
  <c r="G83" i="13"/>
  <c r="F86" i="13"/>
  <c r="F85" i="13"/>
  <c r="F84" i="13"/>
  <c r="F83" i="13"/>
  <c r="E86" i="13"/>
  <c r="E85" i="13"/>
  <c r="E84" i="13"/>
  <c r="E83" i="13"/>
  <c r="E39" i="13"/>
  <c r="V31" i="15"/>
  <c r="R31" i="15"/>
  <c r="R23" i="16"/>
  <c r="V23" i="16"/>
  <c r="I12" i="12"/>
  <c r="R16" i="8"/>
  <c r="I47" i="13"/>
  <c r="I46" i="13"/>
  <c r="I45" i="13"/>
  <c r="H47" i="13"/>
  <c r="H46" i="13"/>
  <c r="H45" i="13"/>
  <c r="H44" i="13"/>
  <c r="G47" i="13"/>
  <c r="G46" i="13"/>
  <c r="G45" i="13"/>
  <c r="G44" i="13"/>
  <c r="E47" i="13"/>
  <c r="E46" i="13"/>
  <c r="F47" i="13"/>
  <c r="F46" i="13"/>
  <c r="F45" i="13"/>
  <c r="F44" i="13"/>
  <c r="E45" i="13"/>
  <c r="E44" i="13"/>
  <c r="I104" i="13"/>
  <c r="I103" i="13"/>
  <c r="I102" i="13"/>
  <c r="I101" i="13"/>
  <c r="I100" i="13"/>
  <c r="I99" i="13"/>
  <c r="I98" i="13"/>
  <c r="I97" i="13"/>
  <c r="H104" i="13"/>
  <c r="H103" i="13"/>
  <c r="H102" i="13"/>
  <c r="H101" i="13"/>
  <c r="H100" i="13"/>
  <c r="H99" i="13"/>
  <c r="H98" i="13"/>
  <c r="H97" i="13"/>
  <c r="G100" i="13"/>
  <c r="G99" i="13"/>
  <c r="G98" i="13"/>
  <c r="G97" i="13"/>
  <c r="G104" i="13"/>
  <c r="G103" i="13"/>
  <c r="G102" i="13"/>
  <c r="G101" i="13"/>
  <c r="F104" i="13"/>
  <c r="F103" i="13"/>
  <c r="F102" i="13"/>
  <c r="F101" i="13"/>
  <c r="F100" i="13"/>
  <c r="F99" i="13"/>
  <c r="F98" i="13"/>
  <c r="F97" i="13"/>
  <c r="E104" i="13"/>
  <c r="E103" i="13"/>
  <c r="E102" i="13"/>
  <c r="E101" i="13"/>
  <c r="E100" i="13"/>
  <c r="E99" i="13"/>
  <c r="E98" i="13"/>
  <c r="E97"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Z3" i="21"/>
  <c r="K78" i="21" l="1"/>
  <c r="T3" i="21"/>
  <c r="H3" i="21"/>
  <c r="N3" i="21"/>
  <c r="F79" i="21"/>
  <c r="I92" i="13"/>
  <c r="H92" i="13"/>
  <c r="G92" i="13"/>
  <c r="E92" i="13"/>
  <c r="B3" i="21"/>
  <c r="L127" i="21" l="1"/>
  <c r="L123" i="21"/>
  <c r="L119" i="21"/>
  <c r="L115" i="21"/>
  <c r="L111" i="21"/>
  <c r="L107" i="21"/>
  <c r="L103" i="21"/>
  <c r="K123" i="21"/>
  <c r="K119" i="21"/>
  <c r="K115" i="21"/>
  <c r="K111" i="21"/>
  <c r="K107" i="21"/>
  <c r="K103" i="21"/>
  <c r="K122" i="21"/>
  <c r="K117" i="21"/>
  <c r="K112" i="21"/>
  <c r="K106" i="21"/>
  <c r="L126" i="21"/>
  <c r="L121" i="21"/>
  <c r="L116" i="21"/>
  <c r="L110" i="21"/>
  <c r="L105" i="21"/>
  <c r="K121" i="21"/>
  <c r="K116" i="21"/>
  <c r="K110" i="21"/>
  <c r="K105" i="21"/>
  <c r="L125" i="21"/>
  <c r="L120" i="21"/>
  <c r="L114" i="21"/>
  <c r="L109" i="21"/>
  <c r="L104" i="21"/>
  <c r="K120" i="21"/>
  <c r="K114" i="21"/>
  <c r="K109" i="21"/>
  <c r="K104" i="21"/>
  <c r="L129" i="21"/>
  <c r="L124" i="21"/>
  <c r="L118" i="21"/>
  <c r="L113" i="21"/>
  <c r="L108" i="21"/>
  <c r="L102" i="21"/>
  <c r="K129" i="21"/>
  <c r="K108" i="21"/>
  <c r="L128" i="21"/>
  <c r="L106" i="21"/>
  <c r="K102" i="21"/>
  <c r="L122" i="21"/>
  <c r="K118" i="21"/>
  <c r="L117" i="21"/>
  <c r="K113" i="21"/>
  <c r="L112" i="21"/>
  <c r="Y1" i="21"/>
  <c r="AC78" i="21" s="1"/>
  <c r="K80" i="21"/>
  <c r="E78" i="21"/>
  <c r="AD129" i="21" l="1"/>
  <c r="AE119" i="21" s="1"/>
  <c r="AD125" i="21"/>
  <c r="AD121" i="21"/>
  <c r="AD117" i="21"/>
  <c r="AD113" i="21"/>
  <c r="AD109" i="21"/>
  <c r="AD105" i="21"/>
  <c r="AC129" i="21"/>
  <c r="AC121" i="21"/>
  <c r="AC117" i="21"/>
  <c r="AC113" i="21"/>
  <c r="AC109" i="21"/>
  <c r="AC105" i="21"/>
  <c r="AD128" i="21"/>
  <c r="AE118" i="21" s="1"/>
  <c r="AD124" i="21"/>
  <c r="AD120" i="21"/>
  <c r="AD116" i="21"/>
  <c r="AD112" i="21"/>
  <c r="AD108" i="21"/>
  <c r="AD104" i="21"/>
  <c r="AD122" i="21"/>
  <c r="AD115" i="21"/>
  <c r="AC110" i="21"/>
  <c r="AC103" i="21"/>
  <c r="AD127" i="21"/>
  <c r="AE117" i="21" s="1"/>
  <c r="AC122" i="21"/>
  <c r="AC115" i="21"/>
  <c r="AC108" i="21"/>
  <c r="AD102" i="21"/>
  <c r="AC120" i="21"/>
  <c r="AD114" i="21"/>
  <c r="AD107" i="21"/>
  <c r="AC102" i="21"/>
  <c r="AD126" i="21"/>
  <c r="AE116" i="21" s="1"/>
  <c r="AD119" i="21"/>
  <c r="AC114" i="21"/>
  <c r="AC107" i="21"/>
  <c r="AC119" i="21"/>
  <c r="AC112" i="21"/>
  <c r="AD106" i="21"/>
  <c r="AD118" i="21"/>
  <c r="AD111" i="21"/>
  <c r="AC106" i="21"/>
  <c r="AD123" i="21"/>
  <c r="AC118" i="21"/>
  <c r="AC111" i="21"/>
  <c r="AC104" i="21"/>
  <c r="AC123" i="21"/>
  <c r="AC116" i="21"/>
  <c r="AD110" i="21"/>
  <c r="AD103" i="21"/>
  <c r="F126" i="21"/>
  <c r="F122" i="21"/>
  <c r="F118" i="21"/>
  <c r="F114" i="21"/>
  <c r="F110" i="21"/>
  <c r="F106" i="21"/>
  <c r="F102" i="21"/>
  <c r="E122" i="21"/>
  <c r="E118" i="21"/>
  <c r="E114" i="21"/>
  <c r="E110" i="21"/>
  <c r="E106" i="21"/>
  <c r="E102" i="21"/>
  <c r="E121" i="21"/>
  <c r="E116" i="21"/>
  <c r="E111" i="21"/>
  <c r="E105" i="21"/>
  <c r="F125" i="21"/>
  <c r="F120" i="21"/>
  <c r="F115" i="21"/>
  <c r="F109" i="21"/>
  <c r="F104" i="21"/>
  <c r="E120" i="21"/>
  <c r="E115" i="21"/>
  <c r="E109" i="21"/>
  <c r="E104" i="21"/>
  <c r="F129" i="21"/>
  <c r="G119" i="21" s="1"/>
  <c r="F124" i="21"/>
  <c r="F119" i="21"/>
  <c r="F113" i="21"/>
  <c r="F108" i="21"/>
  <c r="F103" i="21"/>
  <c r="E129" i="21"/>
  <c r="E119" i="21"/>
  <c r="E113" i="21"/>
  <c r="E108" i="21"/>
  <c r="E103" i="21"/>
  <c r="F128" i="21"/>
  <c r="G118" i="21" s="1"/>
  <c r="F123" i="21"/>
  <c r="F117" i="21"/>
  <c r="F112" i="21"/>
  <c r="F107" i="21"/>
  <c r="E117" i="21"/>
  <c r="F116" i="21"/>
  <c r="E112" i="21"/>
  <c r="F111" i="21"/>
  <c r="E107" i="21"/>
  <c r="F127" i="21"/>
  <c r="G117" i="21" s="1"/>
  <c r="F105" i="21"/>
  <c r="E123" i="21"/>
  <c r="F121" i="21"/>
  <c r="M117" i="21"/>
  <c r="K97" i="21"/>
  <c r="K89" i="21"/>
  <c r="K96" i="21"/>
  <c r="K87" i="21"/>
  <c r="K88" i="21"/>
  <c r="L89" i="21"/>
  <c r="M89" i="21" s="1"/>
  <c r="L90" i="21"/>
  <c r="M90" i="21" s="1"/>
  <c r="Q78" i="21"/>
  <c r="E80" i="21"/>
  <c r="F93" i="21"/>
  <c r="G93" i="21" s="1"/>
  <c r="E96" i="21"/>
  <c r="E88" i="21"/>
  <c r="E91" i="21"/>
  <c r="F92" i="21"/>
  <c r="G92" i="21" s="1"/>
  <c r="E90" i="21"/>
  <c r="E97" i="21"/>
  <c r="F91" i="21"/>
  <c r="G91" i="21" s="1"/>
  <c r="E89" i="21"/>
  <c r="F90" i="21"/>
  <c r="G90" i="21" s="1"/>
  <c r="E93" i="21"/>
  <c r="F97" i="21"/>
  <c r="G97" i="21" s="1"/>
  <c r="E92" i="21"/>
  <c r="L88" i="21"/>
  <c r="M88" i="21" s="1"/>
  <c r="L96" i="21"/>
  <c r="M96" i="21" s="1"/>
  <c r="K92" i="21"/>
  <c r="W78" i="21"/>
  <c r="AD93" i="21"/>
  <c r="AE93" i="21" s="1"/>
  <c r="AC86" i="21"/>
  <c r="AC91" i="21"/>
  <c r="AC93" i="21"/>
  <c r="AD89" i="21"/>
  <c r="AE89" i="21" s="1"/>
  <c r="AC90" i="21"/>
  <c r="AD96" i="21"/>
  <c r="AE96" i="21" s="1"/>
  <c r="AC92" i="21"/>
  <c r="AD88" i="21"/>
  <c r="AE88" i="21" s="1"/>
  <c r="AD90" i="21"/>
  <c r="AE90" i="21" s="1"/>
  <c r="AD97" i="21"/>
  <c r="AE97" i="21" s="1"/>
  <c r="AC89" i="21"/>
  <c r="AC88" i="21"/>
  <c r="AD87" i="21"/>
  <c r="AE87" i="21" s="1"/>
  <c r="AC87" i="21"/>
  <c r="AC97" i="21"/>
  <c r="AC96" i="21"/>
  <c r="L87" i="21"/>
  <c r="M87" i="21" s="1"/>
  <c r="M119" i="21"/>
  <c r="K86" i="21"/>
  <c r="M118" i="21"/>
  <c r="K90" i="21"/>
  <c r="L97" i="21"/>
  <c r="M97" i="21" s="1"/>
  <c r="M116" i="21"/>
  <c r="AC80" i="21"/>
  <c r="X127" i="21" l="1"/>
  <c r="Y117" i="21" s="1"/>
  <c r="X123" i="21"/>
  <c r="X119" i="21"/>
  <c r="X115" i="21"/>
  <c r="X111" i="21"/>
  <c r="X107" i="21"/>
  <c r="X103" i="21"/>
  <c r="W123" i="21"/>
  <c r="W119" i="21"/>
  <c r="W115" i="21"/>
  <c r="W111" i="21"/>
  <c r="W107" i="21"/>
  <c r="W103" i="21"/>
  <c r="X126" i="21"/>
  <c r="Y116" i="21" s="1"/>
  <c r="W121" i="21"/>
  <c r="W116" i="21"/>
  <c r="W110" i="21"/>
  <c r="W105" i="21"/>
  <c r="X125" i="21"/>
  <c r="X120" i="21"/>
  <c r="X114" i="21"/>
  <c r="X109" i="21"/>
  <c r="X104" i="21"/>
  <c r="W120" i="21"/>
  <c r="W114" i="21"/>
  <c r="W109" i="21"/>
  <c r="W104" i="21"/>
  <c r="X124" i="21"/>
  <c r="X118" i="21"/>
  <c r="X113" i="21"/>
  <c r="X108" i="21"/>
  <c r="X102" i="21"/>
  <c r="X129" i="21"/>
  <c r="Y119" i="21" s="1"/>
  <c r="W118" i="21"/>
  <c r="W113" i="21"/>
  <c r="W108" i="21"/>
  <c r="W102" i="21"/>
  <c r="W129" i="21"/>
  <c r="X122" i="21"/>
  <c r="X117" i="21"/>
  <c r="X112" i="21"/>
  <c r="X106" i="21"/>
  <c r="X128" i="21"/>
  <c r="Y118" i="21" s="1"/>
  <c r="W122" i="21"/>
  <c r="W112" i="21"/>
  <c r="X110" i="21"/>
  <c r="W106" i="21"/>
  <c r="X105" i="21"/>
  <c r="X121" i="21"/>
  <c r="W117" i="21"/>
  <c r="X116" i="21"/>
  <c r="R129" i="21"/>
  <c r="S119" i="21" s="1"/>
  <c r="R125" i="21"/>
  <c r="R121" i="21"/>
  <c r="R117" i="21"/>
  <c r="R113" i="21"/>
  <c r="R109" i="21"/>
  <c r="R105" i="21"/>
  <c r="Q129" i="21"/>
  <c r="Q121" i="21"/>
  <c r="Q117" i="21"/>
  <c r="Q113" i="21"/>
  <c r="Q109" i="21"/>
  <c r="Q105" i="21"/>
  <c r="Q119" i="21"/>
  <c r="Q114" i="21"/>
  <c r="Q108" i="21"/>
  <c r="Q103" i="21"/>
  <c r="R128" i="21"/>
  <c r="S118" i="21" s="1"/>
  <c r="R123" i="21"/>
  <c r="R118" i="21"/>
  <c r="R112" i="21"/>
  <c r="R107" i="21"/>
  <c r="R102" i="21"/>
  <c r="Q123" i="21"/>
  <c r="Q118" i="21"/>
  <c r="Q112" i="21"/>
  <c r="Q107" i="21"/>
  <c r="Q102" i="21"/>
  <c r="R127" i="21"/>
  <c r="S117" i="21" s="1"/>
  <c r="R122" i="21"/>
  <c r="R116" i="21"/>
  <c r="R111" i="21"/>
  <c r="R106" i="21"/>
  <c r="Q122" i="21"/>
  <c r="Q116" i="21"/>
  <c r="Q111" i="21"/>
  <c r="Q106" i="21"/>
  <c r="R126" i="21"/>
  <c r="S116" i="21" s="1"/>
  <c r="R120" i="21"/>
  <c r="R115" i="21"/>
  <c r="R110" i="21"/>
  <c r="R104" i="21"/>
  <c r="Q120" i="21"/>
  <c r="R119" i="21"/>
  <c r="Q115" i="21"/>
  <c r="R114" i="21"/>
  <c r="Q110" i="21"/>
  <c r="R108" i="21"/>
  <c r="Q104" i="21"/>
  <c r="R124" i="21"/>
  <c r="R103" i="21"/>
  <c r="W87" i="21"/>
  <c r="W97" i="21"/>
  <c r="X88" i="21"/>
  <c r="Y88" i="21" s="1"/>
  <c r="W89" i="21"/>
  <c r="X97" i="21"/>
  <c r="Y97" i="21" s="1"/>
  <c r="X87" i="21"/>
  <c r="Y87" i="21" s="1"/>
  <c r="W80" i="21"/>
  <c r="W96" i="21"/>
  <c r="W92" i="21"/>
  <c r="X89" i="21"/>
  <c r="Y89" i="21" s="1"/>
  <c r="W88" i="21"/>
  <c r="X93" i="21"/>
  <c r="Y93" i="21" s="1"/>
  <c r="X96" i="21"/>
  <c r="Y96" i="21" s="1"/>
  <c r="X90" i="21"/>
  <c r="Y90" i="21" s="1"/>
  <c r="W90" i="21"/>
  <c r="W86" i="21"/>
  <c r="R87" i="21"/>
  <c r="S87" i="21" s="1"/>
  <c r="R90" i="21"/>
  <c r="S90" i="21" s="1"/>
  <c r="Q80" i="21"/>
  <c r="Q89" i="21"/>
  <c r="Q88" i="21"/>
  <c r="Q91" i="21"/>
  <c r="R89" i="21"/>
  <c r="S89" i="21" s="1"/>
  <c r="Q97" i="21"/>
  <c r="R97" i="21"/>
  <c r="S97" i="21" s="1"/>
  <c r="Q93" i="21"/>
  <c r="Q86" i="21"/>
  <c r="R93" i="21"/>
  <c r="S93" i="21" s="1"/>
  <c r="Q96" i="21"/>
  <c r="R88" i="21"/>
  <c r="S88" i="21" s="1"/>
  <c r="Q87" i="21"/>
  <c r="R96" i="21"/>
  <c r="S96" i="21" s="1"/>
  <c r="Q90" i="21"/>
  <c r="Q92" i="21"/>
  <c r="I19" i="13"/>
  <c r="H19" i="13"/>
  <c r="G19" i="13"/>
  <c r="K95" i="21" s="1"/>
  <c r="E19" i="13"/>
  <c r="E95" i="21" s="1"/>
  <c r="F60" i="13"/>
  <c r="L93" i="21" s="1"/>
  <c r="M93" i="21" s="1"/>
  <c r="F59" i="13"/>
  <c r="E91" i="13"/>
  <c r="G116" i="21" s="1"/>
  <c r="E10" i="13"/>
  <c r="E86" i="21" s="1"/>
  <c r="I26" i="13"/>
  <c r="I33" i="13"/>
  <c r="I39" i="13"/>
  <c r="I38" i="13"/>
  <c r="I37" i="13"/>
  <c r="I36" i="13"/>
  <c r="I35" i="13"/>
  <c r="I34" i="13"/>
  <c r="I32" i="13"/>
  <c r="I31" i="13"/>
  <c r="I30" i="13"/>
  <c r="I29" i="13"/>
  <c r="I28" i="13"/>
  <c r="I27" i="13"/>
  <c r="I90" i="13"/>
  <c r="I89" i="13"/>
  <c r="I88" i="13"/>
  <c r="I87" i="13"/>
  <c r="I82" i="13"/>
  <c r="I81" i="13"/>
  <c r="I80" i="13"/>
  <c r="I79" i="13"/>
  <c r="I78" i="13"/>
  <c r="I77" i="13"/>
  <c r="I76" i="13"/>
  <c r="I75" i="13"/>
  <c r="I74" i="13"/>
  <c r="I73" i="13"/>
  <c r="I72" i="13"/>
  <c r="I71" i="13"/>
  <c r="I70" i="13"/>
  <c r="I69" i="13"/>
  <c r="I61" i="13"/>
  <c r="H26" i="13"/>
  <c r="H33" i="13"/>
  <c r="H39" i="13"/>
  <c r="H38" i="13"/>
  <c r="H37" i="13"/>
  <c r="H36" i="13"/>
  <c r="H35" i="13"/>
  <c r="H34" i="13"/>
  <c r="H32" i="13"/>
  <c r="H31" i="13"/>
  <c r="H30" i="13"/>
  <c r="H29" i="13"/>
  <c r="H28" i="13"/>
  <c r="H27" i="13"/>
  <c r="H90" i="13"/>
  <c r="H89" i="13"/>
  <c r="H88" i="13"/>
  <c r="H87" i="13"/>
  <c r="H82" i="13"/>
  <c r="H81" i="13"/>
  <c r="H80" i="13"/>
  <c r="H79" i="13"/>
  <c r="H78" i="13"/>
  <c r="H77" i="13"/>
  <c r="H76" i="13"/>
  <c r="H75" i="13"/>
  <c r="H74" i="13"/>
  <c r="H73" i="13"/>
  <c r="H72" i="13"/>
  <c r="H71" i="13"/>
  <c r="H70" i="13"/>
  <c r="H69" i="13"/>
  <c r="H61" i="13"/>
  <c r="G26" i="13"/>
  <c r="G33" i="13"/>
  <c r="G39" i="13"/>
  <c r="G38" i="13"/>
  <c r="G37" i="13"/>
  <c r="G36" i="13"/>
  <c r="G35" i="13"/>
  <c r="G34" i="13"/>
  <c r="G32" i="13"/>
  <c r="G31" i="13"/>
  <c r="G30" i="13"/>
  <c r="G29" i="13"/>
  <c r="G28" i="13"/>
  <c r="G27" i="13"/>
  <c r="G90" i="13"/>
  <c r="G89" i="13"/>
  <c r="M122" i="21" s="1"/>
  <c r="G88" i="13"/>
  <c r="G87" i="13"/>
  <c r="G82" i="13"/>
  <c r="G81" i="13"/>
  <c r="G80" i="13"/>
  <c r="G79" i="13"/>
  <c r="M112" i="21" s="1"/>
  <c r="G78" i="13"/>
  <c r="M111" i="21" s="1"/>
  <c r="G77" i="13"/>
  <c r="M110" i="21" s="1"/>
  <c r="G76" i="13"/>
  <c r="G75" i="13"/>
  <c r="G74" i="13"/>
  <c r="G73" i="13"/>
  <c r="G72" i="13"/>
  <c r="G71" i="13"/>
  <c r="M104" i="21" s="1"/>
  <c r="G70" i="13"/>
  <c r="G69" i="13"/>
  <c r="G61" i="13"/>
  <c r="AD95" i="21" s="1"/>
  <c r="I7" i="13"/>
  <c r="AC83" i="21" s="1"/>
  <c r="I6" i="13"/>
  <c r="I5" i="13"/>
  <c r="H7" i="13"/>
  <c r="Q83" i="21" s="1"/>
  <c r="H6" i="13"/>
  <c r="Q82" i="21" s="1"/>
  <c r="H5" i="13"/>
  <c r="I18" i="13"/>
  <c r="H18" i="13"/>
  <c r="G18" i="13"/>
  <c r="F18" i="13"/>
  <c r="E18" i="13"/>
  <c r="E94" i="21" s="1"/>
  <c r="F7" i="13"/>
  <c r="K83" i="21" s="1"/>
  <c r="F6" i="13"/>
  <c r="K82" i="21" s="1"/>
  <c r="F5" i="13"/>
  <c r="W81" i="21" s="1"/>
  <c r="E7" i="13"/>
  <c r="E83" i="21" s="1"/>
  <c r="E6" i="13"/>
  <c r="E82" i="21" s="1"/>
  <c r="E5" i="13"/>
  <c r="E81" i="21" s="1"/>
  <c r="F90" i="13"/>
  <c r="F89" i="13"/>
  <c r="F88" i="13"/>
  <c r="F87" i="13"/>
  <c r="F82" i="13"/>
  <c r="F81" i="13"/>
  <c r="F80" i="13"/>
  <c r="F79" i="13"/>
  <c r="F78" i="13"/>
  <c r="F77" i="13"/>
  <c r="F76" i="13"/>
  <c r="F75" i="13"/>
  <c r="F74" i="13"/>
  <c r="F73" i="13"/>
  <c r="F72" i="13"/>
  <c r="F71" i="13"/>
  <c r="F70" i="13"/>
  <c r="F69" i="13"/>
  <c r="F61" i="13"/>
  <c r="F58" i="13"/>
  <c r="E90" i="13"/>
  <c r="E89" i="13"/>
  <c r="E88" i="13"/>
  <c r="E87" i="13"/>
  <c r="G120" i="21" s="1"/>
  <c r="E82" i="13"/>
  <c r="E81" i="13"/>
  <c r="E80" i="13"/>
  <c r="E79" i="13"/>
  <c r="E78" i="13"/>
  <c r="E77" i="13"/>
  <c r="E76" i="13"/>
  <c r="E75" i="13"/>
  <c r="E74" i="13"/>
  <c r="G107" i="21" s="1"/>
  <c r="E73" i="13"/>
  <c r="E72" i="13"/>
  <c r="E71" i="13"/>
  <c r="E70" i="13"/>
  <c r="E69" i="13"/>
  <c r="E62" i="13"/>
  <c r="E61" i="13"/>
  <c r="F94" i="21" s="1"/>
  <c r="G94" i="21" s="1"/>
  <c r="E55" i="13"/>
  <c r="E54" i="13"/>
  <c r="E53" i="13"/>
  <c r="F26" i="13"/>
  <c r="F33" i="13"/>
  <c r="F32" i="13"/>
  <c r="F31" i="13"/>
  <c r="F30" i="13"/>
  <c r="F29" i="13"/>
  <c r="F28" i="13"/>
  <c r="F27" i="13"/>
  <c r="F39" i="13"/>
  <c r="F38" i="13"/>
  <c r="F37" i="13"/>
  <c r="F36" i="13"/>
  <c r="F35" i="13"/>
  <c r="F34" i="13"/>
  <c r="E38" i="13"/>
  <c r="E37" i="13"/>
  <c r="E36" i="13"/>
  <c r="E35" i="13"/>
  <c r="E34" i="13"/>
  <c r="E33" i="13"/>
  <c r="E32" i="13"/>
  <c r="E31" i="13"/>
  <c r="E30" i="13"/>
  <c r="E29" i="13"/>
  <c r="E28" i="13"/>
  <c r="E27" i="13"/>
  <c r="E26" i="13"/>
  <c r="F17" i="13"/>
  <c r="Y121" i="21" l="1"/>
  <c r="Y109" i="21"/>
  <c r="AE95" i="21"/>
  <c r="M86" i="21"/>
  <c r="G122" i="21"/>
  <c r="M113" i="21"/>
  <c r="G110" i="21"/>
  <c r="M105" i="21"/>
  <c r="G123" i="21"/>
  <c r="M123" i="21"/>
  <c r="AE86" i="21"/>
  <c r="Y86" i="21"/>
  <c r="F87" i="21"/>
  <c r="G87" i="21" s="1"/>
  <c r="G106" i="21"/>
  <c r="G114" i="21"/>
  <c r="L92" i="21"/>
  <c r="M92" i="21" s="1"/>
  <c r="R95" i="21"/>
  <c r="S95" i="21" s="1"/>
  <c r="F88" i="21"/>
  <c r="G88" i="21" s="1"/>
  <c r="F89" i="21"/>
  <c r="G89" i="21" s="1"/>
  <c r="S86" i="21"/>
  <c r="G112" i="21"/>
  <c r="G105" i="21"/>
  <c r="X94" i="21"/>
  <c r="Y94" i="21" s="1"/>
  <c r="L95" i="21"/>
  <c r="G86" i="21"/>
  <c r="G108" i="21"/>
  <c r="X95" i="21"/>
  <c r="G111" i="21"/>
  <c r="G104" i="21"/>
  <c r="G113" i="21"/>
  <c r="G115" i="21"/>
  <c r="F95" i="21"/>
  <c r="F96" i="21"/>
  <c r="G96" i="21" s="1"/>
  <c r="G109" i="21"/>
  <c r="G121" i="21"/>
  <c r="M106" i="21"/>
  <c r="M114" i="21"/>
  <c r="M115" i="21"/>
  <c r="M107" i="21"/>
  <c r="Y110" i="21"/>
  <c r="S123" i="21"/>
  <c r="Y123" i="21"/>
  <c r="K94" i="21"/>
  <c r="M108" i="21"/>
  <c r="M120" i="21"/>
  <c r="S107" i="21"/>
  <c r="S115" i="21"/>
  <c r="Y122" i="21"/>
  <c r="S111" i="21"/>
  <c r="AE110" i="21"/>
  <c r="AE122" i="21"/>
  <c r="Y111" i="21"/>
  <c r="AE111" i="21"/>
  <c r="AE123" i="21"/>
  <c r="W93" i="21"/>
  <c r="K93" i="21"/>
  <c r="Y107" i="21"/>
  <c r="Y115" i="21"/>
  <c r="L94" i="21"/>
  <c r="M94" i="21" s="1"/>
  <c r="M109" i="21"/>
  <c r="M121" i="21"/>
  <c r="S105" i="21"/>
  <c r="S113" i="21"/>
  <c r="AE104" i="21"/>
  <c r="S109" i="21"/>
  <c r="Y105" i="21"/>
  <c r="Y113" i="21"/>
  <c r="W94" i="21"/>
  <c r="S106" i="21"/>
  <c r="S114" i="21"/>
  <c r="AE105" i="21"/>
  <c r="AE113" i="21"/>
  <c r="AE106" i="21"/>
  <c r="AE114" i="21"/>
  <c r="Y114" i="21"/>
  <c r="Q94" i="21"/>
  <c r="S108" i="21"/>
  <c r="S120" i="21"/>
  <c r="AE107" i="21"/>
  <c r="AE115" i="21"/>
  <c r="S110" i="21"/>
  <c r="S104" i="21"/>
  <c r="Y108" i="21"/>
  <c r="Y120" i="21"/>
  <c r="AC94" i="21"/>
  <c r="R94" i="21"/>
  <c r="S94" i="21" s="1"/>
  <c r="S121" i="21"/>
  <c r="AE108" i="21"/>
  <c r="AE120" i="21"/>
  <c r="Y104" i="21"/>
  <c r="Y106" i="21"/>
  <c r="S122" i="21"/>
  <c r="AD94" i="21"/>
  <c r="AE94" i="21" s="1"/>
  <c r="AE109" i="21"/>
  <c r="AE121" i="21"/>
  <c r="Q95" i="21"/>
  <c r="AC95" i="21"/>
  <c r="Q81" i="21"/>
  <c r="S112" i="21"/>
  <c r="AE112" i="21"/>
  <c r="Y112" i="21"/>
  <c r="W82" i="21"/>
  <c r="W83" i="21"/>
  <c r="AC82" i="21"/>
  <c r="AC81" i="21"/>
  <c r="W95" i="21"/>
  <c r="X92" i="21"/>
  <c r="Y92" i="21" s="1"/>
  <c r="AD92" i="21"/>
  <c r="AE92" i="21" s="1"/>
  <c r="R91" i="21"/>
  <c r="S91" i="21" s="1"/>
  <c r="AD91" i="21"/>
  <c r="AE91" i="21" s="1"/>
  <c r="R92" i="21"/>
  <c r="S92" i="21" s="1"/>
  <c r="W91" i="21"/>
  <c r="K91" i="21"/>
  <c r="X91" i="21"/>
  <c r="Y91" i="21" s="1"/>
  <c r="L91" i="21"/>
  <c r="M91" i="21" s="1"/>
  <c r="K81" i="21"/>
  <c r="E3" i="13"/>
  <c r="F3" i="13" s="1"/>
  <c r="CO15" i="7"/>
  <c r="CN15" i="7"/>
  <c r="CK15" i="7"/>
  <c r="CJ15" i="7"/>
  <c r="CH15" i="7"/>
  <c r="CG15" i="7"/>
  <c r="BZ15" i="7"/>
  <c r="CO19" i="7"/>
  <c r="CO18" i="7"/>
  <c r="CO17" i="7"/>
  <c r="CO16" i="7"/>
  <c r="CN19" i="7"/>
  <c r="CN18" i="7"/>
  <c r="CN17" i="7"/>
  <c r="CN16" i="7"/>
  <c r="F67" i="21" l="1"/>
  <c r="M95" i="21"/>
  <c r="F53" i="21"/>
  <c r="F30" i="21"/>
  <c r="F55" i="21"/>
  <c r="F17" i="21"/>
  <c r="Y95" i="21"/>
  <c r="F12" i="21"/>
  <c r="F25" i="21"/>
  <c r="F44" i="21"/>
  <c r="F49" i="21"/>
  <c r="F20" i="21"/>
  <c r="F31" i="21"/>
  <c r="F72" i="21"/>
  <c r="F43" i="21"/>
  <c r="F42" i="21"/>
  <c r="F13" i="21"/>
  <c r="F58" i="21"/>
  <c r="F18" i="21"/>
  <c r="F51" i="21"/>
  <c r="F14" i="21"/>
  <c r="F6" i="21"/>
  <c r="F24" i="21"/>
  <c r="F16" i="21"/>
  <c r="F64" i="21"/>
  <c r="F56" i="21"/>
  <c r="F57" i="21"/>
  <c r="F21" i="21"/>
  <c r="F62" i="21"/>
  <c r="F68" i="21"/>
  <c r="F10" i="21"/>
  <c r="F65" i="21"/>
  <c r="F63" i="21"/>
  <c r="F7" i="21"/>
  <c r="F40" i="21"/>
  <c r="F45" i="21"/>
  <c r="F69" i="21"/>
  <c r="F50" i="21"/>
  <c r="F59" i="21"/>
  <c r="F5" i="21"/>
  <c r="F28" i="21"/>
  <c r="F61" i="21"/>
  <c r="F73" i="21"/>
  <c r="G95" i="21"/>
  <c r="F66" i="21"/>
  <c r="F15" i="21"/>
  <c r="F60" i="21"/>
  <c r="F71" i="21"/>
  <c r="F11" i="21"/>
  <c r="F54" i="21"/>
  <c r="F8" i="21"/>
  <c r="F26" i="21"/>
  <c r="F70" i="21"/>
  <c r="F9" i="21"/>
  <c r="F19" i="21"/>
  <c r="F22" i="21"/>
  <c r="F23" i="21"/>
  <c r="F36" i="21"/>
  <c r="F37" i="21"/>
  <c r="F38" i="21"/>
  <c r="F29" i="21"/>
  <c r="F33" i="21"/>
  <c r="F27" i="21"/>
  <c r="F52" i="21"/>
  <c r="F32" i="21"/>
  <c r="F34" i="21"/>
  <c r="F46" i="21"/>
  <c r="F47" i="21"/>
  <c r="F48" i="21"/>
  <c r="F39" i="21"/>
  <c r="F41" i="21"/>
  <c r="F35" i="21"/>
  <c r="X69" i="2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M17" i="7"/>
  <c r="CM19" i="7"/>
  <c r="CM18" i="7"/>
  <c r="CA19" i="7"/>
  <c r="CB15" i="7"/>
  <c r="CB17" i="7"/>
  <c r="CA15" i="7"/>
  <c r="CB18" i="7"/>
  <c r="CA16" i="7"/>
  <c r="CA17" i="7"/>
  <c r="CM15" i="7"/>
  <c r="D7" i="7" s="1"/>
  <c r="CA18" i="7"/>
  <c r="CM16" i="7"/>
  <c r="I3" i="13"/>
  <c r="H3" i="13"/>
  <c r="G3" i="13"/>
  <c r="L79" i="21" s="1"/>
  <c r="R79" i="21" l="1"/>
  <c r="X79" i="21"/>
  <c r="AD79" i="21"/>
  <c r="D58" i="13"/>
  <c r="I2" i="13"/>
  <c r="H2" i="13"/>
  <c r="G2" i="13"/>
  <c r="F2" i="13"/>
  <c r="X78" i="21" s="1"/>
  <c r="E2" i="13"/>
  <c r="CK19" i="7"/>
  <c r="CK18" i="7"/>
  <c r="CK17" i="7"/>
  <c r="CK16" i="7"/>
  <c r="CJ19" i="7"/>
  <c r="CJ18" i="7"/>
  <c r="CJ17" i="7"/>
  <c r="CJ16" i="7"/>
  <c r="CH19" i="7"/>
  <c r="CH18" i="7"/>
  <c r="CH17" i="7"/>
  <c r="CH16" i="7"/>
  <c r="CG19" i="7"/>
  <c r="CG18" i="7"/>
  <c r="CG17" i="7"/>
  <c r="CG16" i="7"/>
  <c r="F49" i="7"/>
  <c r="G49" i="7"/>
  <c r="H49" i="7"/>
  <c r="I49" i="7"/>
  <c r="J49" i="7"/>
  <c r="J3" i="17"/>
  <c r="K3" i="17"/>
  <c r="L78" i="21" l="1"/>
  <c r="R78" i="21"/>
  <c r="AD78" i="21"/>
  <c r="AW12" i="12"/>
  <c r="CE12" i="12" s="1"/>
  <c r="AG10" i="12"/>
  <c r="BZ19" i="7" s="1"/>
  <c r="AA10" i="12"/>
  <c r="BZ18" i="7" s="1"/>
  <c r="U10" i="12"/>
  <c r="BZ17" i="7" s="1"/>
  <c r="O10" i="12"/>
  <c r="D3" i="17"/>
  <c r="U3" i="17"/>
  <c r="V3" i="17"/>
  <c r="W3" i="17"/>
  <c r="X3" i="17"/>
  <c r="T3" i="17"/>
  <c r="CE17" i="7" l="1"/>
  <c r="CD17" i="7"/>
  <c r="CE19" i="7"/>
  <c r="CD19" i="7"/>
  <c r="CE18" i="7"/>
  <c r="CD18" i="7"/>
  <c r="CI17" i="7"/>
  <c r="CL17" i="7"/>
  <c r="CF17" i="7"/>
  <c r="CC17" i="7"/>
  <c r="CC18" i="7"/>
  <c r="CL18" i="7"/>
  <c r="CF18" i="7"/>
  <c r="CI18" i="7"/>
  <c r="CL19" i="7"/>
  <c r="CF19" i="7"/>
  <c r="CI19" i="7"/>
  <c r="CC19" i="7"/>
  <c r="BZ16" i="7"/>
  <c r="AH9" i="7" s="1"/>
  <c r="AG9" i="7" s="1"/>
  <c r="G50" i="13" s="1"/>
  <c r="O12" i="12"/>
  <c r="BC12" i="12" s="1"/>
  <c r="CF12" i="12" s="1"/>
  <c r="R11" i="7"/>
  <c r="C10" i="7"/>
  <c r="R10" i="7"/>
  <c r="F8" i="13" s="1"/>
  <c r="C22" i="7"/>
  <c r="E67" i="13" s="1"/>
  <c r="F100" i="21" s="1"/>
  <c r="AG10" i="7"/>
  <c r="G8" i="13" s="1"/>
  <c r="AW22" i="7"/>
  <c r="R23" i="7"/>
  <c r="BK23" i="7"/>
  <c r="AZ22" i="7"/>
  <c r="AV23" i="7"/>
  <c r="AW9" i="7"/>
  <c r="AV9" i="7" s="1"/>
  <c r="H50" i="13" s="1"/>
  <c r="D20" i="7"/>
  <c r="D23" i="7"/>
  <c r="AV10" i="7"/>
  <c r="H8" i="13" s="1"/>
  <c r="AZ23" i="7"/>
  <c r="S9" i="7"/>
  <c r="R9" i="7" s="1"/>
  <c r="BL8" i="7"/>
  <c r="BK8" i="7" s="1"/>
  <c r="I49" i="13" s="1"/>
  <c r="D22" i="7"/>
  <c r="AW20" i="7"/>
  <c r="BO22" i="7"/>
  <c r="BK22" i="7"/>
  <c r="BK20" i="7"/>
  <c r="BO23" i="7"/>
  <c r="BL7" i="7"/>
  <c r="BK7" i="7" s="1"/>
  <c r="I48" i="13" s="1"/>
  <c r="D8" i="7"/>
  <c r="C8" i="7" s="1"/>
  <c r="AV22" i="7"/>
  <c r="BL23" i="7"/>
  <c r="S7" i="7"/>
  <c r="R7" i="7" s="1"/>
  <c r="C7" i="7"/>
  <c r="E48" i="13" s="1"/>
  <c r="E124" i="21" s="1"/>
  <c r="E8" i="13" l="1"/>
  <c r="E84" i="21" s="1"/>
  <c r="AW7" i="7"/>
  <c r="AV7" i="7" s="1"/>
  <c r="H48" i="13" s="1"/>
  <c r="AC126" i="21"/>
  <c r="W126" i="21"/>
  <c r="Q126" i="21"/>
  <c r="BK10" i="7"/>
  <c r="R22" i="7"/>
  <c r="BL9" i="7"/>
  <c r="BK9" i="7" s="1"/>
  <c r="I50" i="13" s="1"/>
  <c r="G23" i="7"/>
  <c r="AZ20" i="7"/>
  <c r="H24" i="13"/>
  <c r="I65" i="13"/>
  <c r="AG20" i="7"/>
  <c r="G65" i="13" s="1"/>
  <c r="BL22" i="7"/>
  <c r="I24" i="13" s="1"/>
  <c r="AG22" i="7"/>
  <c r="G67" i="13" s="1"/>
  <c r="AW8" i="7"/>
  <c r="AV8" i="7" s="1"/>
  <c r="H49" i="13" s="1"/>
  <c r="AH20" i="7"/>
  <c r="I25" i="13"/>
  <c r="CD16" i="7"/>
  <c r="R21" i="7" s="1"/>
  <c r="CE16" i="7"/>
  <c r="D21" i="7"/>
  <c r="C20" i="7"/>
  <c r="E65" i="13" s="1"/>
  <c r="F98" i="21" s="1"/>
  <c r="G98" i="21" s="1"/>
  <c r="CC16" i="7"/>
  <c r="AK20" i="7" s="1"/>
  <c r="S21" i="7"/>
  <c r="BO21" i="7"/>
  <c r="AG21" i="7"/>
  <c r="CL16" i="7"/>
  <c r="AK23" i="7" s="1"/>
  <c r="CF16" i="7"/>
  <c r="AK21" i="7" s="1"/>
  <c r="AH21" i="7"/>
  <c r="BL21" i="7"/>
  <c r="V21" i="7"/>
  <c r="BK21" i="7"/>
  <c r="AZ21" i="7"/>
  <c r="CB19" i="7"/>
  <c r="S20" i="7" s="1"/>
  <c r="AW21" i="7"/>
  <c r="CI16" i="7"/>
  <c r="AK22" i="7" s="1"/>
  <c r="C21" i="7"/>
  <c r="AV21" i="7"/>
  <c r="G20" i="7"/>
  <c r="G21" i="7"/>
  <c r="V22" i="7"/>
  <c r="C11" i="7"/>
  <c r="E52" i="13" s="1"/>
  <c r="E128" i="21" s="1"/>
  <c r="BL20" i="7"/>
  <c r="AV20" i="7"/>
  <c r="AH7" i="7"/>
  <c r="AG7" i="7" s="1"/>
  <c r="G48" i="13" s="1"/>
  <c r="S8" i="7"/>
  <c r="R8" i="7" s="1"/>
  <c r="F49" i="13" s="1"/>
  <c r="K125" i="21" s="1"/>
  <c r="AG11" i="7"/>
  <c r="G9" i="13" s="1"/>
  <c r="S22" i="7"/>
  <c r="S23" i="7"/>
  <c r="AH23" i="7"/>
  <c r="BK11" i="7"/>
  <c r="I52" i="13" s="1"/>
  <c r="BO20" i="7"/>
  <c r="AH22" i="7"/>
  <c r="AH8" i="7"/>
  <c r="AG8" i="7" s="1"/>
  <c r="G49" i="13" s="1"/>
  <c r="D9" i="7"/>
  <c r="C9" i="7" s="1"/>
  <c r="E50" i="13" s="1"/>
  <c r="E126" i="21" s="1"/>
  <c r="G22" i="7"/>
  <c r="E24" i="13" s="1"/>
  <c r="E100" i="21" s="1"/>
  <c r="V20" i="7"/>
  <c r="AW23" i="7"/>
  <c r="H25" i="13" s="1"/>
  <c r="AG23" i="7"/>
  <c r="G68" i="13" s="1"/>
  <c r="C23" i="7"/>
  <c r="E68" i="13" s="1"/>
  <c r="AV11" i="7"/>
  <c r="H52" i="13" s="1"/>
  <c r="R20" i="7"/>
  <c r="F81" i="21"/>
  <c r="F9" i="13"/>
  <c r="F52" i="13"/>
  <c r="K128" i="21" s="1"/>
  <c r="E51" i="13"/>
  <c r="E127" i="21" s="1"/>
  <c r="I67" i="13"/>
  <c r="I68" i="13"/>
  <c r="H67" i="13"/>
  <c r="H68" i="13"/>
  <c r="K84" i="21"/>
  <c r="G51" i="13"/>
  <c r="H51" i="13"/>
  <c r="F68" i="13"/>
  <c r="L101" i="21" s="1"/>
  <c r="F50" i="13"/>
  <c r="K126" i="21" s="1"/>
  <c r="F51" i="13"/>
  <c r="K127" i="21" s="1"/>
  <c r="E49" i="13"/>
  <c r="E125" i="21" s="1"/>
  <c r="F67" i="13"/>
  <c r="L100" i="21" s="1"/>
  <c r="F48" i="13"/>
  <c r="K124" i="21" s="1"/>
  <c r="U12" i="12"/>
  <c r="BI12" i="12" s="1"/>
  <c r="CG12" i="12" s="1"/>
  <c r="I51" i="13" l="1"/>
  <c r="I8" i="13"/>
  <c r="I22" i="13"/>
  <c r="AC127" i="21"/>
  <c r="Q127" i="21"/>
  <c r="W127" i="21"/>
  <c r="AD100" i="21"/>
  <c r="X100" i="21"/>
  <c r="Y100" i="21" s="1"/>
  <c r="R100" i="21"/>
  <c r="AC125" i="21"/>
  <c r="W125" i="21"/>
  <c r="Q125" i="21"/>
  <c r="AC124" i="21"/>
  <c r="Q124" i="21"/>
  <c r="W124" i="21"/>
  <c r="G103" i="21"/>
  <c r="F101" i="21"/>
  <c r="G101" i="21" s="1"/>
  <c r="AD101" i="21"/>
  <c r="AE101" i="21" s="1"/>
  <c r="R101" i="21"/>
  <c r="S101" i="21" s="1"/>
  <c r="X101" i="21"/>
  <c r="Y101" i="21" s="1"/>
  <c r="E23" i="13"/>
  <c r="E99" i="21" s="1"/>
  <c r="E66" i="13"/>
  <c r="F66" i="13"/>
  <c r="L99" i="21" s="1"/>
  <c r="M99" i="21" s="1"/>
  <c r="F23" i="13"/>
  <c r="K99" i="21" s="1"/>
  <c r="I23" i="13"/>
  <c r="I66" i="13"/>
  <c r="G66" i="13"/>
  <c r="G23" i="13"/>
  <c r="F24" i="13"/>
  <c r="K100" i="21" s="1"/>
  <c r="H66" i="13"/>
  <c r="H23" i="13"/>
  <c r="M102" i="21"/>
  <c r="M103" i="21"/>
  <c r="F84" i="21"/>
  <c r="G84" i="21" s="1"/>
  <c r="AE103" i="21"/>
  <c r="S103" i="21"/>
  <c r="Y103" i="21"/>
  <c r="L86" i="21"/>
  <c r="S102" i="21"/>
  <c r="AE102" i="21"/>
  <c r="Y102" i="21"/>
  <c r="G102" i="21"/>
  <c r="F85" i="21"/>
  <c r="G85" i="21" s="1"/>
  <c r="F86" i="21"/>
  <c r="G24" i="13"/>
  <c r="H65" i="13"/>
  <c r="H22" i="13"/>
  <c r="G22" i="13"/>
  <c r="Q98" i="21" s="1"/>
  <c r="V23" i="7"/>
  <c r="F25" i="13" s="1"/>
  <c r="K101" i="21" s="1"/>
  <c r="F65" i="13"/>
  <c r="L98" i="21" s="1"/>
  <c r="M98" i="21" s="1"/>
  <c r="F22" i="13"/>
  <c r="K98" i="21" s="1"/>
  <c r="E25" i="13"/>
  <c r="E101" i="21" s="1"/>
  <c r="G25" i="13"/>
  <c r="E22" i="13"/>
  <c r="E98" i="21" s="1"/>
  <c r="I9" i="13"/>
  <c r="E9" i="13"/>
  <c r="E85" i="21" s="1"/>
  <c r="G52" i="13"/>
  <c r="H9" i="13"/>
  <c r="AC85" i="21" s="1"/>
  <c r="R83" i="21"/>
  <c r="S83" i="21" s="1"/>
  <c r="R82" i="21"/>
  <c r="S82" i="21" s="1"/>
  <c r="Q85" i="21"/>
  <c r="R81" i="21"/>
  <c r="S81" i="21" s="1"/>
  <c r="G81" i="21"/>
  <c r="M101" i="21"/>
  <c r="L83" i="21"/>
  <c r="M83" i="21" s="1"/>
  <c r="L82" i="21"/>
  <c r="M82" i="21" s="1"/>
  <c r="L84" i="21"/>
  <c r="M84" i="21" s="1"/>
  <c r="K85" i="21"/>
  <c r="L85" i="21"/>
  <c r="M85" i="21" s="1"/>
  <c r="L81" i="21"/>
  <c r="M81" i="21" s="1"/>
  <c r="AD81" i="21"/>
  <c r="AE81" i="21" s="1"/>
  <c r="AD83" i="21"/>
  <c r="AE83" i="21" s="1"/>
  <c r="AD82" i="21"/>
  <c r="AE82" i="21" s="1"/>
  <c r="X84" i="21"/>
  <c r="Y84" i="21" s="1"/>
  <c r="AD84" i="21"/>
  <c r="AE84" i="21" s="1"/>
  <c r="R84" i="21"/>
  <c r="S84" i="21" s="1"/>
  <c r="W85" i="21"/>
  <c r="Q84" i="21"/>
  <c r="AC84" i="21"/>
  <c r="X98" i="21"/>
  <c r="Y98" i="21" s="1"/>
  <c r="W84" i="21"/>
  <c r="AD98" i="21"/>
  <c r="AE98" i="21" s="1"/>
  <c r="R98" i="21"/>
  <c r="S98" i="21" s="1"/>
  <c r="X81" i="21"/>
  <c r="F82" i="21"/>
  <c r="F83" i="21"/>
  <c r="X82" i="21"/>
  <c r="Y82" i="21" s="1"/>
  <c r="X83" i="21"/>
  <c r="Y83" i="21" s="1"/>
  <c r="AA12" i="12"/>
  <c r="BO12" i="12" s="1"/>
  <c r="CH12" i="12" s="1"/>
  <c r="AC101" i="21" l="1"/>
  <c r="W101" i="21"/>
  <c r="Q101" i="21"/>
  <c r="AC100" i="21"/>
  <c r="Q100" i="21"/>
  <c r="W100" i="21"/>
  <c r="AC128" i="21"/>
  <c r="W128" i="21"/>
  <c r="Q128" i="21"/>
  <c r="Q99" i="21"/>
  <c r="W99" i="21"/>
  <c r="AC99" i="21"/>
  <c r="G100" i="21"/>
  <c r="F99" i="21"/>
  <c r="G99" i="21" s="1"/>
  <c r="AE100" i="21"/>
  <c r="R99" i="21"/>
  <c r="S99" i="21" s="1"/>
  <c r="X99" i="21"/>
  <c r="Y99" i="21" s="1"/>
  <c r="AD99" i="21"/>
  <c r="AE99" i="21" s="1"/>
  <c r="W98" i="21"/>
  <c r="S100" i="21"/>
  <c r="AD85" i="21"/>
  <c r="AE85" i="21" s="1"/>
  <c r="AD86" i="21"/>
  <c r="X86" i="21"/>
  <c r="R86" i="21"/>
  <c r="M100" i="21"/>
  <c r="AC98" i="21"/>
  <c r="X85" i="21"/>
  <c r="Y85" i="21" s="1"/>
  <c r="R85" i="21"/>
  <c r="S85" i="21" s="1"/>
  <c r="B5" i="21"/>
  <c r="Y81" i="21"/>
  <c r="B73" i="21"/>
  <c r="G83" i="21"/>
  <c r="G82" i="21"/>
  <c r="AG12" i="12"/>
  <c r="BU12" i="12" s="1"/>
  <c r="CI12" i="12" s="1"/>
  <c r="B46" i="21" l="1"/>
  <c r="B17" i="21"/>
  <c r="B28" i="21"/>
  <c r="B45" i="21"/>
  <c r="B24" i="21"/>
  <c r="B63" i="21"/>
  <c r="B26" i="21"/>
  <c r="B64" i="21"/>
  <c r="B34" i="21"/>
  <c r="B25" i="21"/>
  <c r="B61" i="21"/>
  <c r="B7" i="21"/>
  <c r="B32" i="21"/>
  <c r="B11" i="21"/>
  <c r="B72" i="21"/>
  <c r="B9" i="21"/>
  <c r="B55" i="21"/>
  <c r="B58" i="21"/>
  <c r="B14" i="21"/>
  <c r="B56" i="21"/>
  <c r="B30" i="21"/>
  <c r="B19" i="21"/>
  <c r="B18" i="21"/>
  <c r="B37" i="21"/>
  <c r="B68" i="21"/>
  <c r="B12" i="21"/>
  <c r="B16" i="21"/>
  <c r="B41" i="21"/>
  <c r="B40" i="21"/>
  <c r="B44" i="21"/>
  <c r="B71" i="21"/>
  <c r="B53" i="21"/>
  <c r="B43" i="21"/>
  <c r="B54" i="21"/>
  <c r="B67" i="21"/>
  <c r="B6" i="21"/>
  <c r="B48" i="21"/>
  <c r="B39" i="21"/>
  <c r="B52" i="21"/>
  <c r="B47" i="21"/>
  <c r="B22" i="21"/>
  <c r="B62" i="21"/>
  <c r="B65" i="21"/>
  <c r="B15" i="21"/>
  <c r="B42" i="21"/>
  <c r="B20" i="21"/>
  <c r="B66" i="21"/>
  <c r="B10" i="21"/>
  <c r="B57" i="21"/>
  <c r="B69" i="21"/>
  <c r="B21" i="21"/>
  <c r="B8" i="21"/>
  <c r="B13" i="21"/>
  <c r="B38" i="21"/>
  <c r="B23" i="21"/>
  <c r="B51" i="21"/>
  <c r="B60" i="21"/>
  <c r="B50" i="21"/>
  <c r="B49" i="21"/>
  <c r="B70" i="21"/>
  <c r="B59" i="21"/>
  <c r="H37" i="21"/>
  <c r="H16" i="21"/>
  <c r="H29" i="21"/>
  <c r="H5" i="21"/>
  <c r="H35" i="21"/>
  <c r="H9" i="21"/>
  <c r="Z8" i="21"/>
  <c r="H43" i="21"/>
  <c r="Z23" i="21"/>
  <c r="H56" i="21"/>
  <c r="H67" i="21"/>
  <c r="H23" i="21"/>
  <c r="H58" i="21"/>
  <c r="H19" i="21"/>
  <c r="H14" i="21"/>
  <c r="H21" i="21"/>
  <c r="H18" i="21"/>
  <c r="H11" i="21"/>
  <c r="H50" i="21"/>
  <c r="H72" i="21"/>
  <c r="H68" i="21"/>
  <c r="Z53" i="21"/>
  <c r="H45" i="21"/>
  <c r="Z68" i="21"/>
  <c r="Z26" i="21"/>
  <c r="H73" i="21"/>
  <c r="H61" i="21"/>
  <c r="Z67" i="21"/>
  <c r="Z63" i="21"/>
  <c r="Z55" i="21"/>
  <c r="H54" i="21"/>
  <c r="Z33" i="21"/>
  <c r="Z70" i="21"/>
  <c r="Z71" i="21"/>
  <c r="Z60" i="21"/>
  <c r="H41" i="21"/>
  <c r="H33" i="21"/>
  <c r="Z47" i="21"/>
  <c r="H52" i="21"/>
  <c r="H44" i="21"/>
  <c r="H48" i="21"/>
  <c r="Z21" i="21"/>
  <c r="Z56" i="21"/>
  <c r="H42" i="21"/>
  <c r="H22" i="21"/>
  <c r="H25" i="21"/>
  <c r="H24" i="21"/>
  <c r="H39" i="21"/>
  <c r="H26" i="21"/>
  <c r="Z50" i="21"/>
  <c r="H28" i="21"/>
  <c r="H34" i="21"/>
  <c r="H10" i="21"/>
  <c r="Z43" i="21"/>
  <c r="Z44" i="21"/>
  <c r="Z54" i="21"/>
  <c r="Z65" i="21"/>
  <c r="Z31" i="21"/>
  <c r="Z66" i="21"/>
  <c r="Z38" i="21"/>
  <c r="Z30" i="21"/>
  <c r="H17" i="21"/>
  <c r="H62" i="21"/>
  <c r="H12" i="21"/>
  <c r="H40" i="21"/>
  <c r="H66" i="21"/>
  <c r="Z52" i="21"/>
  <c r="H8" i="21"/>
  <c r="Z14" i="21"/>
  <c r="Z7" i="21"/>
  <c r="H71" i="21"/>
  <c r="Z34" i="21"/>
  <c r="H60" i="21"/>
  <c r="Z59" i="21"/>
  <c r="H30" i="21"/>
  <c r="H31" i="21"/>
  <c r="Z19" i="21"/>
  <c r="Z12" i="21"/>
  <c r="Z45" i="21"/>
  <c r="Z29" i="21"/>
  <c r="Z73" i="21"/>
  <c r="H49" i="21"/>
  <c r="H46" i="21"/>
  <c r="Z46" i="21"/>
  <c r="H63" i="21"/>
  <c r="Z49" i="21"/>
  <c r="Z5" i="21"/>
  <c r="Z72" i="21"/>
  <c r="Z10" i="21"/>
  <c r="Z69" i="21"/>
  <c r="Z27" i="21"/>
  <c r="Z61" i="21"/>
  <c r="H38" i="21"/>
  <c r="Z40" i="21"/>
  <c r="H36" i="21"/>
  <c r="Z37" i="21"/>
  <c r="Z13" i="21"/>
  <c r="H55" i="21"/>
  <c r="H59" i="21"/>
  <c r="H57" i="21"/>
  <c r="H47" i="21"/>
  <c r="H69" i="21"/>
  <c r="Z22" i="21"/>
  <c r="Z24" i="21"/>
  <c r="Z64" i="21"/>
  <c r="Z6" i="21"/>
  <c r="Z62" i="21"/>
  <c r="Z18" i="21"/>
  <c r="Z16" i="21"/>
  <c r="H53" i="21"/>
  <c r="Z39" i="21"/>
  <c r="Z20" i="21"/>
  <c r="Z35" i="21"/>
  <c r="H15" i="21"/>
  <c r="H27" i="21"/>
  <c r="H7" i="21"/>
  <c r="Z42" i="21"/>
  <c r="Z51" i="21"/>
  <c r="Z41" i="21"/>
  <c r="Z28" i="21"/>
  <c r="Z57" i="21"/>
  <c r="Z17" i="21"/>
  <c r="Z9" i="21"/>
  <c r="Z15" i="21"/>
  <c r="H65" i="21"/>
  <c r="H64" i="21"/>
  <c r="H32" i="21"/>
  <c r="H70" i="21"/>
  <c r="H51" i="21"/>
  <c r="Z48" i="21"/>
  <c r="Z25" i="21"/>
  <c r="Z11" i="21"/>
  <c r="Z36" i="21"/>
  <c r="Z58" i="21"/>
  <c r="Z32" i="21"/>
  <c r="H13" i="21"/>
  <c r="H6" i="21"/>
  <c r="H20" i="21"/>
  <c r="T51" i="21"/>
  <c r="T30" i="21"/>
  <c r="T53" i="21"/>
  <c r="T68" i="21"/>
  <c r="N29" i="21"/>
  <c r="T69" i="21"/>
  <c r="T42" i="21"/>
  <c r="T67" i="21"/>
  <c r="T45" i="21"/>
  <c r="T41" i="21"/>
  <c r="T61" i="21"/>
  <c r="T71" i="21"/>
  <c r="T22" i="21"/>
  <c r="T48" i="21"/>
  <c r="T44" i="21"/>
  <c r="T43" i="21"/>
  <c r="T16" i="21"/>
  <c r="T38" i="21"/>
  <c r="T70" i="21"/>
  <c r="T5" i="21"/>
  <c r="T33" i="21"/>
  <c r="T13" i="21"/>
  <c r="T47" i="21"/>
  <c r="T14" i="21"/>
  <c r="T29" i="21"/>
  <c r="T7" i="21"/>
  <c r="T55" i="21"/>
  <c r="T11" i="21"/>
  <c r="T19" i="21"/>
  <c r="T23" i="21"/>
  <c r="T36" i="21"/>
  <c r="T31" i="21"/>
  <c r="T25" i="21"/>
  <c r="T15" i="21"/>
  <c r="T21" i="21"/>
  <c r="T27" i="21"/>
  <c r="T50" i="21"/>
  <c r="T12" i="21"/>
  <c r="T65" i="21"/>
  <c r="T73" i="21"/>
  <c r="N54" i="21"/>
  <c r="T17" i="21"/>
  <c r="T63" i="21"/>
  <c r="T6" i="21"/>
  <c r="T40" i="21"/>
  <c r="T72" i="21"/>
  <c r="T35" i="21"/>
  <c r="T52" i="21"/>
  <c r="T10" i="21"/>
  <c r="T37" i="21"/>
  <c r="T39" i="21"/>
  <c r="T54" i="21"/>
  <c r="T56" i="21"/>
  <c r="T60" i="21"/>
  <c r="T24" i="21"/>
  <c r="T46" i="21"/>
  <c r="T64" i="21"/>
  <c r="T58" i="21"/>
  <c r="T57" i="21"/>
  <c r="T18" i="21"/>
  <c r="T59" i="21"/>
  <c r="T9" i="21"/>
  <c r="N32" i="21"/>
  <c r="N7" i="21"/>
  <c r="N61" i="21"/>
  <c r="N60" i="21"/>
  <c r="T34" i="21"/>
  <c r="T62" i="21"/>
  <c r="T49" i="21"/>
  <c r="T32" i="21"/>
  <c r="T8" i="21"/>
  <c r="T20" i="21"/>
  <c r="T26" i="21"/>
  <c r="T66" i="21"/>
  <c r="T28" i="21"/>
  <c r="N10" i="21"/>
  <c r="N71" i="21"/>
  <c r="N63" i="21"/>
  <c r="N35" i="21"/>
  <c r="N26" i="21"/>
  <c r="N42" i="21"/>
  <c r="N25" i="21"/>
  <c r="N21" i="21"/>
  <c r="N11" i="21"/>
  <c r="N39" i="21"/>
  <c r="N16" i="21"/>
  <c r="N24" i="21"/>
  <c r="N8" i="21"/>
  <c r="N55" i="21"/>
  <c r="N48" i="21"/>
  <c r="N57" i="21"/>
  <c r="N51" i="21"/>
  <c r="N6" i="21"/>
  <c r="N56" i="21"/>
  <c r="N33" i="21"/>
  <c r="N43" i="21"/>
  <c r="N52" i="21"/>
  <c r="N14" i="21"/>
  <c r="N45" i="21"/>
  <c r="N23" i="21"/>
  <c r="N53" i="21"/>
  <c r="N65" i="21"/>
  <c r="N49" i="21"/>
  <c r="N59" i="21"/>
  <c r="N5" i="21"/>
  <c r="N17" i="21"/>
  <c r="N36" i="21"/>
  <c r="N41" i="21"/>
  <c r="N73" i="21"/>
  <c r="N9" i="21"/>
  <c r="N40" i="21"/>
  <c r="N20" i="21"/>
  <c r="N38" i="21"/>
  <c r="N27" i="21"/>
  <c r="N44" i="21"/>
  <c r="N22" i="21"/>
  <c r="N67" i="21"/>
  <c r="N19" i="21"/>
  <c r="N15" i="21"/>
  <c r="N18" i="21"/>
  <c r="N72" i="21"/>
  <c r="N70" i="21"/>
  <c r="N69" i="21"/>
  <c r="N34" i="21"/>
  <c r="N46" i="21"/>
  <c r="N13" i="21"/>
  <c r="N66" i="21"/>
  <c r="N47" i="21"/>
  <c r="N30" i="21"/>
  <c r="N31" i="21"/>
  <c r="N64" i="21"/>
  <c r="N68" i="21"/>
  <c r="N62" i="21"/>
  <c r="N58" i="21"/>
  <c r="N37" i="21"/>
  <c r="N12" i="21"/>
  <c r="N28" i="21"/>
  <c r="N50" i="21"/>
  <c r="R9" i="8"/>
  <c r="R8" i="8"/>
  <c r="R7" i="8"/>
  <c r="P9" i="8"/>
  <c r="P8" i="8"/>
  <c r="P7" i="8"/>
  <c r="R10" i="8"/>
  <c r="P10" i="8"/>
  <c r="E87" i="21" l="1"/>
  <c r="B33" i="21" l="1"/>
  <c r="B36" i="21"/>
  <c r="B27" i="21"/>
  <c r="B35" i="21"/>
  <c r="B31" i="21"/>
  <c r="B29" i="21"/>
  <c r="Y23" i="8"/>
  <c r="Y24" i="8"/>
  <c r="Y25" i="8"/>
  <c r="Y26" i="8"/>
  <c r="Y27" i="8"/>
  <c r="Y28" i="8"/>
  <c r="Y29" i="8"/>
  <c r="Y30" i="8"/>
  <c r="N14" i="8" s="1"/>
  <c r="AZ5" i="12"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D7" i="12"/>
  <c r="R17" i="8"/>
  <c r="BD8" i="12" s="1"/>
  <c r="S3" i="17"/>
  <c r="Q3" i="17"/>
  <c r="R3" i="17" s="1"/>
  <c r="P3" i="17"/>
  <c r="I3" i="17"/>
  <c r="H3" i="17"/>
  <c r="G3" i="17"/>
  <c r="F3" i="17"/>
  <c r="E3" i="17"/>
  <c r="C3" i="17"/>
  <c r="B3" i="17"/>
  <c r="A3" i="17"/>
  <c r="F39" i="22" l="1"/>
  <c r="F43" i="22"/>
  <c r="F41" i="22"/>
  <c r="R41" i="22"/>
  <c r="F45" i="22"/>
  <c r="N45" i="22"/>
  <c r="L46" i="22" s="1"/>
  <c r="N43" i="22"/>
  <c r="J41" i="22"/>
  <c r="H42" i="22" s="1"/>
  <c r="R39" i="22"/>
  <c r="J39" i="22"/>
  <c r="J45" i="22"/>
  <c r="J43" i="22"/>
  <c r="N41" i="22"/>
  <c r="N39" i="22"/>
  <c r="F34" i="22"/>
  <c r="D35" i="22" s="1"/>
  <c r="N36" i="22"/>
  <c r="L37" i="22" s="1"/>
  <c r="N34" i="22"/>
  <c r="J32" i="22"/>
  <c r="F36" i="22"/>
  <c r="J36" i="22"/>
  <c r="J34" i="22"/>
  <c r="N30" i="22"/>
  <c r="L31" i="22" s="1"/>
  <c r="F32" i="22"/>
  <c r="R30" i="22"/>
  <c r="F30" i="22"/>
  <c r="J30" i="22"/>
  <c r="R32" i="22"/>
  <c r="N32" i="22"/>
  <c r="F14" i="8"/>
  <c r="J27" i="22"/>
  <c r="J25" i="22"/>
  <c r="H26" i="22" s="1"/>
  <c r="N27" i="22"/>
  <c r="L28" i="22" s="1"/>
  <c r="R21" i="22"/>
  <c r="F27" i="22"/>
  <c r="F25" i="22"/>
  <c r="N23" i="22"/>
  <c r="R23" i="22"/>
  <c r="P24" i="22" s="1"/>
  <c r="N21" i="22"/>
  <c r="F23" i="22"/>
  <c r="F21" i="22"/>
  <c r="J21" i="22"/>
  <c r="N25" i="22"/>
  <c r="J23" i="22"/>
  <c r="F51" i="22"/>
  <c r="N51" i="22"/>
  <c r="L51" i="22" s="1"/>
  <c r="J51" i="22"/>
  <c r="H51" i="22" s="1"/>
  <c r="N49" i="22"/>
  <c r="L49" i="22" s="1"/>
  <c r="F49" i="22"/>
  <c r="N53" i="22"/>
  <c r="L53" i="22" s="1"/>
  <c r="F53" i="22"/>
  <c r="D53" i="22" s="1"/>
  <c r="R51" i="22"/>
  <c r="P51" i="22" s="1"/>
  <c r="J55" i="22"/>
  <c r="H55" i="22" s="1"/>
  <c r="J49" i="22"/>
  <c r="H49" i="22" s="1"/>
  <c r="N55" i="22"/>
  <c r="L55" i="22" s="1"/>
  <c r="R49" i="22"/>
  <c r="P49" i="22" s="1"/>
  <c r="J53" i="22"/>
  <c r="H53" i="22" s="1"/>
  <c r="F55" i="22"/>
  <c r="D55" i="22" s="1"/>
  <c r="J42" i="22"/>
  <c r="N42" i="22"/>
  <c r="R42" i="22"/>
  <c r="F44" i="22"/>
  <c r="F46" i="22"/>
  <c r="N44" i="22"/>
  <c r="J40" i="22"/>
  <c r="N46" i="22"/>
  <c r="F40" i="22"/>
  <c r="J46" i="22"/>
  <c r="F42" i="22"/>
  <c r="J44" i="22"/>
  <c r="N40" i="22"/>
  <c r="R40" i="22"/>
  <c r="F31" i="22"/>
  <c r="N35" i="22"/>
  <c r="N33" i="22"/>
  <c r="J33" i="22"/>
  <c r="F33" i="22"/>
  <c r="J31" i="22"/>
  <c r="F37" i="22"/>
  <c r="J35" i="22"/>
  <c r="R31" i="22"/>
  <c r="N37" i="22"/>
  <c r="R33" i="22"/>
  <c r="F35" i="22"/>
  <c r="J37" i="22"/>
  <c r="N31" i="22"/>
  <c r="F28" i="22"/>
  <c r="J28" i="22"/>
  <c r="F26" i="22"/>
  <c r="N26" i="22"/>
  <c r="F24" i="22"/>
  <c r="J22" i="22"/>
  <c r="R24" i="22"/>
  <c r="F22" i="22"/>
  <c r="J26" i="22"/>
  <c r="J24" i="22"/>
  <c r="N22" i="22"/>
  <c r="R22" i="22"/>
  <c r="N28" i="22"/>
  <c r="N24" i="22"/>
  <c r="N17" i="8"/>
  <c r="J17" i="8"/>
  <c r="AV8" i="12" s="1"/>
  <c r="N16" i="8"/>
  <c r="J16" i="8"/>
  <c r="AV7" i="12" s="1"/>
  <c r="F15" i="8"/>
  <c r="AR6" i="12" s="1"/>
  <c r="J15" i="8"/>
  <c r="AV6" i="12" s="1"/>
  <c r="N15" i="8"/>
  <c r="AZ6" i="12" s="1"/>
  <c r="R15" i="8"/>
  <c r="BD6" i="12" s="1"/>
  <c r="F17" i="8"/>
  <c r="AR8" i="12" s="1"/>
  <c r="J14" i="8"/>
  <c r="AV5" i="12" s="1"/>
  <c r="R14" i="8"/>
  <c r="BD5" i="12" s="1"/>
  <c r="F16" i="8"/>
  <c r="AR7" i="12" s="1"/>
  <c r="AR5" i="12"/>
  <c r="L44" i="22" l="1"/>
  <c r="H28" i="22"/>
  <c r="R26" i="22"/>
  <c r="H35" i="22"/>
  <c r="L42" i="22"/>
  <c r="D46" i="22"/>
  <c r="D33" i="22"/>
  <c r="R36" i="22"/>
  <c r="P37" i="22" s="1"/>
  <c r="L40" i="22"/>
  <c r="R37" i="22"/>
  <c r="R46" i="22"/>
  <c r="R55" i="22"/>
  <c r="P55" i="22" s="1"/>
  <c r="D51" i="22"/>
  <c r="L24" i="22"/>
  <c r="L33" i="22"/>
  <c r="H37" i="22"/>
  <c r="H44" i="22"/>
  <c r="P42" i="22"/>
  <c r="L22" i="22"/>
  <c r="H24" i="22"/>
  <c r="D26" i="22"/>
  <c r="P33" i="22"/>
  <c r="D37" i="22"/>
  <c r="H46" i="22"/>
  <c r="D42" i="22"/>
  <c r="R45" i="22"/>
  <c r="R53" i="22"/>
  <c r="P53" i="22" s="1"/>
  <c r="B52" i="22"/>
  <c r="D49" i="22"/>
  <c r="D24" i="22"/>
  <c r="R27" i="22"/>
  <c r="R28" i="22"/>
  <c r="R44" i="22"/>
  <c r="L26" i="22"/>
  <c r="D28" i="22"/>
  <c r="H31" i="22"/>
  <c r="H33" i="22"/>
  <c r="H40" i="22"/>
  <c r="D44" i="22"/>
  <c r="R35" i="22"/>
  <c r="R25" i="22"/>
  <c r="P26" i="22" s="1"/>
  <c r="B25" i="22"/>
  <c r="D22" i="22"/>
  <c r="P31" i="22"/>
  <c r="H22" i="22"/>
  <c r="P22" i="22"/>
  <c r="R34" i="22"/>
  <c r="B34" i="22"/>
  <c r="D31" i="22"/>
  <c r="L35" i="22"/>
  <c r="P40" i="22"/>
  <c r="R43" i="22"/>
  <c r="P44" i="22" s="1"/>
  <c r="D40" i="22"/>
  <c r="B43" i="22"/>
  <c r="B16" i="8"/>
  <c r="F80" i="21" s="1"/>
  <c r="AZ8" i="12"/>
  <c r="O3" i="17"/>
  <c r="AZ7" i="12"/>
  <c r="N3" i="17"/>
  <c r="K21" i="16"/>
  <c r="P35" i="22" l="1"/>
  <c r="P28" i="22"/>
  <c r="P46" i="22"/>
  <c r="BG5" i="12"/>
  <c r="N27" i="16"/>
  <c r="BN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H8" i="12"/>
  <c r="AA29" i="15" l="1"/>
  <c r="BH7" i="12"/>
  <c r="AQ3" i="12" l="1"/>
  <c r="Q1" i="12" s="1"/>
  <c r="L145" i="8" l="1"/>
  <c r="L144" i="8"/>
  <c r="M3" i="17" l="1"/>
  <c r="U25" i="16" l="1"/>
  <c r="U33" i="15"/>
  <c r="K50" i="15" l="1"/>
  <c r="K53" i="15"/>
  <c r="K47" i="15"/>
  <c r="BU10" i="12" l="1"/>
  <c r="CI10" i="12" s="1"/>
  <c r="BO10" i="12"/>
  <c r="CH10" i="12" s="1"/>
  <c r="BI10" i="12"/>
  <c r="CG10" i="12" s="1"/>
  <c r="BC10" i="12"/>
  <c r="CF10" i="12" s="1"/>
  <c r="AW10" i="12"/>
  <c r="CE10" i="12" s="1"/>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P4" i="8" l="1"/>
  <c r="F3" i="21"/>
  <c r="AD3" i="21" s="1"/>
  <c r="X3" i="21" l="1"/>
  <c r="L3" i="21"/>
  <c r="E4" i="13"/>
  <c r="F4" i="13" l="1"/>
  <c r="G4" i="13"/>
  <c r="L80" i="21" s="1"/>
  <c r="H4" i="13"/>
  <c r="R80" i="21" s="1"/>
  <c r="I4" i="13"/>
  <c r="AD80" i="21" l="1"/>
  <c r="X80" i="2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E6453002-B173-4BF5-A0F1-876306133075}">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6" authorId="0" shapeId="0" xr:uid="{7E0EBEA6-7464-4F7A-A478-8F4E406D6560}">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R14" authorId="0" shapeId="0" xr:uid="{4C75F55E-C59C-45CF-A207-417EA580ECC4}">
      <text>
        <r>
          <rPr>
            <b/>
            <sz val="9"/>
            <color indexed="81"/>
            <rFont val="MS P ゴシック"/>
            <family val="3"/>
            <charset val="128"/>
          </rPr>
          <t>容量
４００ml～６００ml</t>
        </r>
      </text>
    </comment>
    <comment ref="AR34" authorId="0" shapeId="0" xr:uid="{F800C01F-0A22-4E12-BA6F-5DBE9BED8F99}">
      <text>
        <r>
          <rPr>
            <b/>
            <sz val="9"/>
            <color indexed="81"/>
            <rFont val="MS P ゴシック"/>
            <family val="3"/>
            <charset val="128"/>
          </rPr>
          <t>容量
２００ml～２５０ml</t>
        </r>
      </text>
    </comment>
    <comment ref="E35" authorId="1" shapeId="0" xr:uid="{148DB052-54E7-4A91-AF44-223FDAD7F2A8}">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<sst xmlns="http://schemas.openxmlformats.org/spreadsheetml/2006/main" count="2046" uniqueCount="392">
  <si>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</si>
  <si>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</si>
  <si>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</si>
  <si>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</si>
  <si>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</si>
  <si>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</si>
  <si>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</si>
  <si>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</si>
  <si>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</si>
  <si>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</si>
  <si>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</si>
  <si>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</si>
  <si>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</si>
  <si>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</si>
  <si>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</si>
  <si>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</si>
  <si>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</si>
  <si>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</si>
  <si>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</si>
  <si>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</si>
  <si>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</si>
  <si>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</si>
  <si>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</si>
  <si>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</si>
  <si>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</si>
  <si>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</si>
  <si>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</si>
  <si>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</si>
  <si>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</si>
  <si>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</si>
  <si>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</si>
  <si>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</si>
  <si>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</si>
  <si>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</si>
  <si>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</si>
  <si>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</si>
  <si>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</si>
  <si>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</si>
  <si>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</si>
  <si>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</si>
  <si>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</si>
  <si>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</si>
  <si>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</si>
  <si>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</si>
  <si>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</si>
  <si>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</si>
  <si>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</si>
  <si>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</si>
  <si>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</si>
  <si>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</si>
  <si>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</si>
  <si>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</si>
  <si>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</si>
  <si>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</si>
  <si>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</si>
  <si>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</si>
  <si>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</si>
  <si>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</si>
  <si>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</si>
  <si>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</si>
  <si>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</si>
  <si>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</si>
  <si>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</si>
  <si>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</si>
  <si>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</si>
  <si>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</si>
  <si>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</si>
  <si>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</si>
  <si>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</si>
  <si>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</si>
  <si>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A</t>
    <phoneticPr fontId="1"/>
  </si>
  <si>
    <t>B</t>
    <phoneticPr fontId="1"/>
  </si>
  <si>
    <t>C</t>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</si>
  <si>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</si>
  <si>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</si>
  <si>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</si>
  <si>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</si>
  <si>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</si>
  <si>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</si>
  <si>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</si>
  <si>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</si>
  <si>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</si>
  <si>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</si>
  <si>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</si>
  <si>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</si>
  <si>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</si>
  <si>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</si>
  <si>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</si>
  <si>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</si>
  <si>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</si>
  <si>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</si>
  <si>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</si>
  <si>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</si>
  <si>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</si>
  <si>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</si>
  <si>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</si>
  <si>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</si>
  <si>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</si>
  <si>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</si>
  <si>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</si>
  <si>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</si>
  <si>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</si>
  <si>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</si>
  <si>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</si>
  <si>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</si>
  <si>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</si>
  <si>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</si>
  <si>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</si>
  <si>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</si>
  <si>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</si>
  <si>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</si>
  <si>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</si>
  <si>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</si>
  <si>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</si>
  <si>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</si>
  <si>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</si>
  <si>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</si>
  <si>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</si>
  <si>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</si>
  <si>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</si>
  <si>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</si>
  <si>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</si>
  <si>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</si>
  <si>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</si>
  <si>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</si>
  <si>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</si>
  <si>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</si>
  <si>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</si>
  <si>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</si>
  <si>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</si>
  <si>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</si>
  <si>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</si>
  <si>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</si>
  <si>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</si>
  <si>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</si>
  <si>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</si>
  <si>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</si>
  <si>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</si>
  <si>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</si>
  <si>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</si>
  <si>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</si>
  <si>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</si>
  <si>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</si>
  <si>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</si>
  <si>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</si>
  <si>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</si>
  <si>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</si>
  <si>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</si>
  <si>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</si>
  <si>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</si>
  <si>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</si>
  <si>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</si>
  <si>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</si>
  <si>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</si>
  <si>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</si>
  <si>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</si>
  <si>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</si>
  <si>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</si>
  <si>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</si>
  <si>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</si>
  <si>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</si>
  <si>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</si>
  <si>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</si>
  <si>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</si>
  <si>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58"/>
  </si>
  <si>
    <t>①</t>
    <phoneticPr fontId="63" type="Hiragana"/>
  </si>
  <si>
    <t>様式第１号（第３条関係）</t>
    <rPh sb="0" eb="2">
      <t>ようしき</t>
    </rPh>
    <rPh sb="2" eb="3">
      <t>だい</t>
    </rPh>
    <rPh sb="4" eb="5">
      <t>ごう</t>
    </rPh>
    <rPh sb="6" eb="7">
      <t>だい</t>
    </rPh>
    <rPh sb="8" eb="9">
      <t>じょう</t>
    </rPh>
    <rPh sb="9" eb="11">
      <t>かんけい</t>
    </rPh>
    <phoneticPr fontId="63"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</si>
  <si>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3"/>
  </si>
  <si>
    <t>（宛先）</t>
    <rPh sb="1" eb="3">
      <t>あてさき</t>
    </rPh>
    <phoneticPr fontId="63" type="Hiragana"/>
  </si>
  <si>
    <t>埼玉県立大滝げんきプラザ所長</t>
    <rPh sb="0" eb="2">
      <t>サイタマ</t>
    </rPh>
    <rPh sb="2" eb="4">
      <t>ケンリツ</t>
    </rPh>
    <rPh sb="4" eb="6">
      <t>オオタキ</t>
    </rPh>
    <rPh sb="12" eb="14">
      <t>ショチョウ</t>
    </rPh>
    <phoneticPr fontId="63"/>
  </si>
  <si>
    <t>〒</t>
    <phoneticPr fontId="63"/>
  </si>
  <si>
    <t>所在地又は住所</t>
    <rPh sb="0" eb="3">
      <t>ショザイチ</t>
    </rPh>
    <rPh sb="3" eb="4">
      <t>マタ</t>
    </rPh>
    <rPh sb="5" eb="7">
      <t>ジュウショ</t>
    </rPh>
    <phoneticPr fontId="63"/>
  </si>
  <si>
    <t>団体名又は氏名</t>
    <rPh sb="0" eb="3">
      <t>ダンタイメイ</t>
    </rPh>
    <rPh sb="3" eb="4">
      <t>マタ</t>
    </rPh>
    <rPh sb="5" eb="7">
      <t>シメイ</t>
    </rPh>
    <phoneticPr fontId="63"/>
  </si>
  <si>
    <t>代表者氏名(学校は校長名)</t>
    <rPh sb="0" eb="3">
      <t>ダイヒョウシャ</t>
    </rPh>
    <rPh sb="3" eb="5">
      <t>シメイ</t>
    </rPh>
    <rPh sb="6" eb="8">
      <t>ガッコウ</t>
    </rPh>
    <rPh sb="9" eb="12">
      <t>コウチョウメイ</t>
    </rPh>
    <phoneticPr fontId="63"/>
  </si>
  <si>
    <t>電　話</t>
    <rPh sb="0" eb="1">
      <t>デン</t>
    </rPh>
    <rPh sb="2" eb="3">
      <t>ハナシ</t>
    </rPh>
    <phoneticPr fontId="63"/>
  </si>
  <si>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3"/>
  </si>
  <si>
    <t>記</t>
    <rPh sb="0" eb="1">
      <t>キ</t>
    </rPh>
    <phoneticPr fontId="63"/>
  </si>
  <si>
    <t>利　用　目　的</t>
    <rPh sb="0" eb="1">
      <t>リ</t>
    </rPh>
    <rPh sb="2" eb="3">
      <t>ヨウ</t>
    </rPh>
    <rPh sb="4" eb="5">
      <t>メ</t>
    </rPh>
    <rPh sb="6" eb="7">
      <t>テキ</t>
    </rPh>
    <phoneticPr fontId="63"/>
  </si>
  <si>
    <t>利　用　期　間</t>
    <rPh sb="0" eb="1">
      <t>リ</t>
    </rPh>
    <rPh sb="2" eb="3">
      <t>ヨウ</t>
    </rPh>
    <rPh sb="4" eb="5">
      <t>キ</t>
    </rPh>
    <rPh sb="6" eb="7">
      <t>アイダ</t>
    </rPh>
    <phoneticPr fontId="63"/>
  </si>
  <si>
    <t>令和</t>
    <rPh sb="0" eb="2">
      <t>レイワ</t>
    </rPh>
    <phoneticPr fontId="58"/>
  </si>
  <si>
    <t>年</t>
    <rPh sb="0" eb="1">
      <t>ねん</t>
    </rPh>
    <phoneticPr fontId="63" type="Hiragana"/>
  </si>
  <si>
    <t>月</t>
    <rPh sb="0" eb="1">
      <t>つき</t>
    </rPh>
    <phoneticPr fontId="63" type="Hiragana"/>
  </si>
  <si>
    <t>日</t>
    <rPh sb="0" eb="1">
      <t>にち</t>
    </rPh>
    <phoneticPr fontId="63" type="Hiragana"/>
  </si>
  <si>
    <t>(</t>
    <phoneticPr fontId="63" type="Hiragana"/>
  </si>
  <si>
    <t>)</t>
    <phoneticPr fontId="63" type="Hiragana"/>
  </si>
  <si>
    <t>から</t>
    <phoneticPr fontId="63" type="Hiragana"/>
  </si>
  <si>
    <t>まで</t>
    <phoneticPr fontId="63" type="Hiragana"/>
  </si>
  <si>
    <t>利　用　人　数</t>
    <rPh sb="0" eb="1">
      <t>り</t>
    </rPh>
    <rPh sb="2" eb="3">
      <t>よう</t>
    </rPh>
    <rPh sb="4" eb="5">
      <t>ひと</t>
    </rPh>
    <rPh sb="6" eb="7">
      <t>すう</t>
    </rPh>
    <phoneticPr fontId="63" type="Hiragana"/>
  </si>
  <si>
    <t>男</t>
    <rPh sb="0" eb="1">
      <t>おとこ</t>
    </rPh>
    <phoneticPr fontId="63" type="Hiragana"/>
  </si>
  <si>
    <t>人</t>
    <rPh sb="0" eb="1">
      <t>にん</t>
    </rPh>
    <phoneticPr fontId="63" type="Hiragana"/>
  </si>
  <si>
    <t>・</t>
    <phoneticPr fontId="63" type="Hiragana"/>
  </si>
  <si>
    <t>女</t>
    <rPh sb="0" eb="1">
      <t>おんな</t>
    </rPh>
    <phoneticPr fontId="63" type="Hiragana"/>
  </si>
  <si>
    <t>計</t>
    <rPh sb="0" eb="1">
      <t>けい</t>
    </rPh>
    <phoneticPr fontId="63"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</si>
  <si>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3" type="Hiragana"/>
  </si>
  <si>
    <t>氏　名</t>
    <rPh sb="0" eb="1">
      <t>ふり</t>
    </rPh>
    <rPh sb="2" eb="3">
      <t>がな</t>
    </rPh>
    <phoneticPr fontId="63" type="Hiragana"/>
  </si>
  <si>
    <t>電　話</t>
    <rPh sb="0" eb="1">
      <t>でん</t>
    </rPh>
    <rPh sb="2" eb="3">
      <t>はなし</t>
    </rPh>
    <phoneticPr fontId="63" type="Hiragana"/>
  </si>
  <si>
    <t>宿泊施設名
該当に○印</t>
    <rPh sb="0" eb="1">
      <t>やど</t>
    </rPh>
    <rPh sb="1" eb="2">
      <t>はく</t>
    </rPh>
    <rPh sb="2" eb="3">
      <t>し</t>
    </rPh>
    <rPh sb="3" eb="4">
      <t>せつ</t>
    </rPh>
    <rPh sb="4" eb="5">
      <t>めい</t>
    </rPh>
    <rPh sb="6" eb="7">
      <t>がい</t>
    </rPh>
    <rPh sb="7" eb="8">
      <t>とう</t>
    </rPh>
    <rPh sb="10" eb="11">
      <t>いん</t>
    </rPh>
    <phoneticPr fontId="63" type="Hiragana"/>
  </si>
  <si>
    <t>宿泊月日</t>
    <rPh sb="0" eb="2">
      <t>しゅくはく</t>
    </rPh>
    <rPh sb="2" eb="4">
      <t>つきひ</t>
    </rPh>
    <phoneticPr fontId="63" type="Hiragana"/>
  </si>
  <si>
    <t>宿泊者数</t>
    <rPh sb="0" eb="3">
      <t>しゅくはくしゃ</t>
    </rPh>
    <rPh sb="3" eb="4">
      <t>すう</t>
    </rPh>
    <phoneticPr fontId="63" type="Hiragana"/>
  </si>
  <si>
    <t>宿　 泊 　者 　の 　内　 訳　　（人）</t>
    <rPh sb="0" eb="1">
      <t>やど</t>
    </rPh>
    <rPh sb="3" eb="4">
      <t>はく</t>
    </rPh>
    <rPh sb="6" eb="7">
      <t>もの</t>
    </rPh>
    <rPh sb="12" eb="13">
      <t>ない</t>
    </rPh>
    <rPh sb="15" eb="16">
      <t>わけ</t>
    </rPh>
    <rPh sb="19" eb="20">
      <t>にん</t>
    </rPh>
    <phoneticPr fontId="63" type="Hiragana"/>
  </si>
  <si>
    <t>使用料
（利用料金）</t>
    <rPh sb="0" eb="3">
      <t>しようりょう</t>
    </rPh>
    <rPh sb="5" eb="8">
      <t>りようりょう</t>
    </rPh>
    <rPh sb="8" eb="9">
      <t>きん</t>
    </rPh>
    <phoneticPr fontId="63" type="Hiragana"/>
  </si>
  <si>
    <t>小中学生</t>
    <rPh sb="0" eb="1">
      <t>しょう</t>
    </rPh>
    <rPh sb="1" eb="4">
      <t>ちゅうがくせい</t>
    </rPh>
    <phoneticPr fontId="63" type="Hiragana"/>
  </si>
  <si>
    <t>高校生等</t>
    <rPh sb="0" eb="3">
      <t>こうこうせい</t>
    </rPh>
    <rPh sb="3" eb="4">
      <t>とう</t>
    </rPh>
    <phoneticPr fontId="63" type="Hiragana"/>
  </si>
  <si>
    <t>一般・学生</t>
    <rPh sb="0" eb="2">
      <t>いっぱん</t>
    </rPh>
    <rPh sb="3" eb="5">
      <t>がくせい</t>
    </rPh>
    <phoneticPr fontId="63" type="Hiragana"/>
  </si>
  <si>
    <t>就学前</t>
    <rPh sb="0" eb="3">
      <t>しゅうがくまえ</t>
    </rPh>
    <phoneticPr fontId="63"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</si>
  <si>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3" type="Hiragana"/>
  </si>
  <si>
    <t>使用料計
（利用料金計）</t>
    <rPh sb="0" eb="3">
      <t>しようりょう</t>
    </rPh>
    <rPh sb="3" eb="4">
      <t>けい</t>
    </rPh>
    <rPh sb="6" eb="9">
      <t>りようりょう</t>
    </rPh>
    <rPh sb="9" eb="10">
      <t>きん</t>
    </rPh>
    <rPh sb="10" eb="11">
      <t>けい</t>
    </rPh>
    <phoneticPr fontId="63" type="Hiragana"/>
  </si>
  <si>
    <t>利　用　の　条　件　又　 は   制   限</t>
    <rPh sb="0" eb="1">
      <t>り</t>
    </rPh>
    <rPh sb="2" eb="3">
      <t>よう</t>
    </rPh>
    <rPh sb="6" eb="7">
      <t>じょう</t>
    </rPh>
    <rPh sb="8" eb="9">
      <t>けん</t>
    </rPh>
    <rPh sb="10" eb="11">
      <t>また</t>
    </rPh>
    <rPh sb="17" eb="18">
      <t>せい</t>
    </rPh>
    <rPh sb="21" eb="22">
      <t>きり</t>
    </rPh>
    <phoneticPr fontId="63" type="Hiragana"/>
  </si>
  <si>
    <t>※　太線内だけ記入してください。</t>
    <rPh sb="2" eb="4">
      <t>ふとせん</t>
    </rPh>
    <rPh sb="4" eb="5">
      <t>ない</t>
    </rPh>
    <rPh sb="7" eb="9">
      <t>きにゅう</t>
    </rPh>
    <phoneticPr fontId="63" type="Hiragana"/>
  </si>
  <si>
    <t>※　合同合宿は学校ごとに提出してください。</t>
    <rPh sb="2" eb="4">
      <t>ごうどう</t>
    </rPh>
    <rPh sb="4" eb="6">
      <t>がっしゅく</t>
    </rPh>
    <rPh sb="7" eb="9">
      <t>がっこう</t>
    </rPh>
    <rPh sb="12" eb="14">
      <t>ていしゅつ</t>
    </rPh>
    <phoneticPr fontId="63"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</si>
  <si>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3"/>
  </si>
  <si>
    <t>　様</t>
    <phoneticPr fontId="58"/>
  </si>
  <si>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</si>
  <si>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58"/>
  </si>
  <si>
    <t>下記のとおり埼玉県立大滝げんきプラザの利用を許可します。</t>
  </si>
  <si>
    <t>様</t>
    <rPh sb="0" eb="1">
      <t>サマ</t>
    </rPh>
    <phoneticPr fontId="1"/>
  </si>
  <si>
    <t>宿泊室</t>
    <rPh sb="0" eb="1">
      <t>やど</t>
    </rPh>
    <rPh sb="1" eb="2">
      <t>はく</t>
    </rPh>
    <rPh sb="2" eb="3">
      <t>しつ</t>
    </rPh>
    <phoneticPr fontId="63"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</si>
  <si>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</si>
  <si>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</si>
  <si>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</si>
  <si>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</si>
  <si>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</si>
  <si>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</si>
  <si>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</si>
  <si>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</si>
  <si>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</si>
  <si>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</si>
  <si>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</si>
  <si>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</si>
  <si>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</si>
  <si>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</si>
  <si>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</si>
  <si>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3" type="Hiragana"/>
  </si>
  <si>
    <t>入所式</t>
    <rPh sb="0" eb="3">
      <t>ニュウショシキ</t>
    </rPh>
    <phoneticPr fontId="1"/>
  </si>
  <si>
    <t>飯盒炊爨・レク・集団行動</t>
    <rPh sb="0" eb="4">
      <t>ハンゴウスイサン</t>
    </rPh>
    <rPh sb="8" eb="10">
      <t>シュウダン</t>
    </rPh>
    <rPh sb="10" eb="12">
      <t>コウドウ</t>
    </rPh>
    <phoneticPr fontId="58"/>
  </si>
  <si>
    <t>受付年月日</t>
    <rPh sb="0" eb="2">
      <t>ウケツケ</t>
    </rPh>
    <rPh sb="2" eb="5">
      <t>ネンガッピ</t>
    </rPh>
    <phoneticPr fontId="63"/>
  </si>
  <si>
    <t>学校名</t>
    <rPh sb="0" eb="2">
      <t>ガッコウ</t>
    </rPh>
    <rPh sb="2" eb="3">
      <t>メイ</t>
    </rPh>
    <phoneticPr fontId="63"/>
  </si>
  <si>
    <t>分類</t>
    <rPh sb="0" eb="2">
      <t>ブンルイ</t>
    </rPh>
    <phoneticPr fontId="63"/>
  </si>
  <si>
    <t>校長名</t>
    <rPh sb="0" eb="2">
      <t>コウチョウ</t>
    </rPh>
    <rPh sb="2" eb="3">
      <t>メイ</t>
    </rPh>
    <phoneticPr fontId="63"/>
  </si>
  <si>
    <t>担当者</t>
    <rPh sb="0" eb="3">
      <t>タントウシャ</t>
    </rPh>
    <phoneticPr fontId="63"/>
  </si>
  <si>
    <t>郵便番号</t>
    <rPh sb="0" eb="4">
      <t>ユウビンバンゴウ</t>
    </rPh>
    <phoneticPr fontId="63"/>
  </si>
  <si>
    <t>住所</t>
    <rPh sb="0" eb="2">
      <t>ジュウショ</t>
    </rPh>
    <phoneticPr fontId="63"/>
  </si>
  <si>
    <t>電話</t>
    <rPh sb="0" eb="2">
      <t>デンワ</t>
    </rPh>
    <phoneticPr fontId="63"/>
  </si>
  <si>
    <t>学年</t>
    <rPh sb="0" eb="2">
      <t>ガクネン</t>
    </rPh>
    <phoneticPr fontId="63"/>
  </si>
  <si>
    <t>学級数</t>
    <rPh sb="0" eb="2">
      <t>ガッキュウ</t>
    </rPh>
    <rPh sb="2" eb="3">
      <t>スウ</t>
    </rPh>
    <phoneticPr fontId="63"/>
  </si>
  <si>
    <t>男</t>
    <rPh sb="0" eb="1">
      <t>オトコ</t>
    </rPh>
    <phoneticPr fontId="63"/>
  </si>
  <si>
    <t>女</t>
    <rPh sb="0" eb="1">
      <t>オンナ</t>
    </rPh>
    <phoneticPr fontId="63"/>
  </si>
  <si>
    <t>引率男</t>
    <rPh sb="0" eb="2">
      <t>インソツ</t>
    </rPh>
    <rPh sb="2" eb="3">
      <t>オトコ</t>
    </rPh>
    <phoneticPr fontId="63"/>
  </si>
  <si>
    <t>引率女</t>
    <rPh sb="0" eb="2">
      <t>インソツ</t>
    </rPh>
    <rPh sb="2" eb="3">
      <t>ジョ</t>
    </rPh>
    <phoneticPr fontId="63"/>
  </si>
  <si>
    <t>目的</t>
    <rPh sb="0" eb="2">
      <t>モクテキ</t>
    </rPh>
    <phoneticPr fontId="63"/>
  </si>
  <si>
    <t xml:space="preserve">   　から　 　　　まで　</t>
    <phoneticPr fontId="58"/>
  </si>
  <si>
    <t>テント</t>
    <phoneticPr fontId="58"/>
  </si>
  <si>
    <t>体育館</t>
    <rPh sb="0" eb="3">
      <t>タイイクカン</t>
    </rPh>
    <phoneticPr fontId="63"/>
  </si>
  <si>
    <t>多目的広場</t>
    <rPh sb="0" eb="5">
      <t>タモクテキヒロバ</t>
    </rPh>
    <phoneticPr fontId="63"/>
  </si>
  <si>
    <t>研修室</t>
    <rPh sb="0" eb="3">
      <t>ケンシュウシツ</t>
    </rPh>
    <phoneticPr fontId="63"/>
  </si>
  <si>
    <t>天文台</t>
    <rPh sb="0" eb="3">
      <t>テンモンダイ</t>
    </rPh>
    <phoneticPr fontId="58"/>
  </si>
  <si>
    <t>備考</t>
    <rPh sb="0" eb="2">
      <t>ビコウ</t>
    </rPh>
    <phoneticPr fontId="58"/>
  </si>
  <si>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</si>
  <si>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</si>
  <si>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</si>
  <si>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</si>
  <si>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</si>
  <si>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</si>
  <si>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</si>
  <si>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</si>
  <si>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</si>
  <si>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</si>
  <si>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</si>
  <si>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</si>
  <si>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</si>
  <si>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</si>
  <si>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</si>
  <si>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</si>
  <si>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</si>
  <si>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</si>
  <si>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</si>
  <si>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</si>
  <si>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</si>
  <si>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</si>
  <si>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</si>
  <si>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</si>
  <si>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</si>
  <si>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</si>
  <si>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</si>
  <si>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</si>
  <si>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</si>
  <si>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</si>
  <si>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</si>
  <si>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</si>
  <si>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</si>
  <si>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</si>
  <si>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</si>
  <si>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</si>
  <si>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</si>
  <si>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</si>
  <si>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</si>
  <si>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</si>
  <si>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</si>
  <si>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</si>
  <si>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</si>
  <si>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</si>
  <si>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</si>
  <si>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</si>
  <si>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</si>
  <si>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</si>
  <si>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</si>
  <si>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</si>
  <si>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</si>
  <si>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</si>
  <si>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</si>
  <si>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</si>
  <si>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</si>
  <si>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</si>
  <si>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</si>
  <si>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</si>
  <si>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</si>
  <si>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</si>
  <si>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</si>
  <si>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</si>
  <si>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</si>
  <si>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</si>
  <si>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</si>
  <si>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</si>
  <si>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</si>
  <si>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</si>
  <si>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</si>
  <si>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</si>
  <si>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</si>
  <si>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</si>
  <si>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</si>
  <si>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</si>
  <si>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</si>
  <si>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</si>
  <si>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</si>
  <si>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</si>
  <si>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</si>
  <si>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</si>
  <si>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</si>
  <si>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</si>
  <si>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</si>
  <si>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</si>
  <si>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</si>
  <si>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</si>
  <si>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</si>
  <si>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</si>
  <si>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</si>
  <si>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</si>
  <si>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</si>
  <si>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</si>
  <si>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</si>
  <si>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</si>
  <si>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</si>
  <si>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</si>
  <si>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</si>
  <si>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</si>
  <si>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</si>
  <si>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</si>
  <si>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</si>
  <si>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58"/>
  </si>
  <si>
    <t>数等</t>
    <rPh sb="0" eb="1">
      <t>カズ</t>
    </rPh>
    <rPh sb="1" eb="2">
      <t>ナド</t>
    </rPh>
    <phoneticPr fontId="1"/>
  </si>
  <si>
    <t>からあげ弁当</t>
  </si>
  <si>
    <t>ピザ</t>
    <phoneticPr fontId="2"/>
  </si>
  <si>
    <t>追加おかず</t>
    <rPh sb="0" eb="2">
      <t>ツイカ</t>
    </rPh>
    <phoneticPr fontId="2"/>
  </si>
  <si>
    <t>ちくわの
磯辺揚げ</t>
    <rPh sb="5" eb="8">
      <t>イソベア</t>
    </rPh>
    <phoneticPr fontId="1"/>
  </si>
  <si>
    <t>とりから揚げ
２個
※大小有</t>
    <rPh sb="4" eb="5">
      <t>ア</t>
    </rPh>
    <rPh sb="8" eb="9">
      <t>コ</t>
    </rPh>
    <rPh sb="11" eb="13">
      <t>ダイショウ</t>
    </rPh>
    <rPh sb="13" eb="14">
      <t>アリ</t>
    </rPh>
    <phoneticPr fontId="1"/>
  </si>
  <si>
    <t>野菜かき揚げ</t>
    <rPh sb="0" eb="2">
      <t>ヤサイ</t>
    </rPh>
    <rPh sb="4" eb="5">
      <t>ア</t>
    </rPh>
    <phoneticPr fontId="1"/>
  </si>
  <si>
    <t>調理パン</t>
    <rPh sb="0" eb="2">
      <t>チョウリ</t>
    </rPh>
    <phoneticPr fontId="2"/>
  </si>
  <si>
    <t>牛乳
200ｍｌ</t>
    <rPh sb="0" eb="2">
      <t>ギュウニュウ</t>
    </rPh>
    <phoneticPr fontId="2"/>
  </si>
  <si>
    <t>牛乳
1L</t>
    <rPh sb="0" eb="2">
      <t>ギュウニュウ</t>
    </rPh>
    <phoneticPr fontId="2"/>
  </si>
  <si>
    <t>冷凍</t>
    <rPh sb="0" eb="2">
      <t>レイトウ</t>
    </rPh>
    <phoneticPr fontId="1"/>
  </si>
  <si>
    <t>ぷるシャリ
みかん</t>
    <phoneticPr fontId="2"/>
  </si>
  <si>
    <t>ぷるシャリ
ぶどう</t>
    <phoneticPr fontId="2"/>
  </si>
  <si>
    <t>ピザ</t>
    <phoneticPr fontId="1"/>
  </si>
  <si>
    <t>ペット</t>
    <phoneticPr fontId="1"/>
  </si>
  <si>
    <t>大ペット</t>
    <rPh sb="0" eb="1">
      <t>ダイ</t>
    </rPh>
    <phoneticPr fontId="1"/>
  </si>
  <si>
    <t>弁当</t>
    <rPh sb="0" eb="2">
      <t>ベントウ</t>
    </rPh>
    <phoneticPr fontId="1"/>
  </si>
  <si>
    <t>おかず</t>
    <phoneticPr fontId="1"/>
  </si>
  <si>
    <t>紙パック</t>
    <rPh sb="0" eb="1">
      <t>カミ</t>
    </rPh>
    <phoneticPr fontId="1"/>
  </si>
  <si>
    <t>個</t>
    <rPh sb="0" eb="1">
      <t>コ</t>
    </rPh>
    <phoneticPr fontId="2"/>
  </si>
  <si>
    <r>
      <rPr>
        <b/>
        <sz val="16"/>
        <rFont val="BIZ UDPゴシック"/>
        <family val="3"/>
        <charset val="128"/>
      </rPr>
      <t>初日の昼食で、到着後すぐに食堂利用を希望される場合は、午前11時までに到着してください。
「炊事場内訳」には使用する炊事場ごとのセット数をご記入ください。（１セット８人分）
「その他」の各注文は、特別な事情がない限り、同じ種類にまとめてください。</t>
    </r>
    <r>
      <rPr>
        <sz val="16"/>
        <rFont val="BIZ UDPゴシック"/>
        <family val="3"/>
        <charset val="128"/>
      </rPr>
      <t xml:space="preserve">
</t>
    </r>
    <r>
      <rPr>
        <b/>
        <sz val="16"/>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</si>
  <si>
    <t>げんき弁当</t>
  </si>
  <si>
    <t>補食</t>
    <rPh sb="0" eb="2">
      <t>ホショク</t>
    </rPh>
    <phoneticPr fontId="1"/>
  </si>
  <si>
    <t>県外</t>
    <rPh sb="0" eb="2">
      <t>ケンガイ</t>
    </rPh>
    <phoneticPr fontId="1"/>
  </si>
  <si>
    <t>６５以上</t>
    <rPh sb="2" eb="4">
      <t>イジョウ</t>
    </rPh>
    <phoneticPr fontId="1"/>
  </si>
  <si>
    <t>日帰り
利用者内訳</t>
    <rPh sb="0" eb="2">
      <t>ヒガエ</t>
    </rPh>
    <rPh sb="4" eb="7">
      <t>リヨウシャ</t>
    </rPh>
    <rPh sb="7" eb="9">
      <t>ウチワケ</t>
    </rPh>
    <phoneticPr fontId="2"/>
  </si>
  <si>
    <t>１泊
宿泊者内訳</t>
    <rPh sb="1" eb="2">
      <t>ハク</t>
    </rPh>
    <rPh sb="3" eb="6">
      <t>シュクハクシャ</t>
    </rPh>
    <rPh sb="6" eb="8">
      <t>ウチワケ</t>
    </rPh>
    <phoneticPr fontId="2"/>
  </si>
  <si>
    <t>２泊
宿泊者内訳</t>
    <rPh sb="1" eb="2">
      <t>ハク</t>
    </rPh>
    <rPh sb="3" eb="6">
      <t>シュクハクシャ</t>
    </rPh>
    <rPh sb="6" eb="8">
      <t>ウチワケ</t>
    </rPh>
    <phoneticPr fontId="2"/>
  </si>
  <si>
    <t>３泊
宿泊者内訳</t>
    <rPh sb="1" eb="2">
      <t>ハク</t>
    </rPh>
    <rPh sb="3" eb="6">
      <t>シュクハクシャ</t>
    </rPh>
    <rPh sb="6" eb="8">
      <t>ウチワケ</t>
    </rPh>
    <phoneticPr fontId="2"/>
  </si>
  <si>
    <t>４泊
宿泊者内訳</t>
    <rPh sb="1" eb="2">
      <t>ハク</t>
    </rPh>
    <rPh sb="3" eb="6">
      <t>シュクハクシャ</t>
    </rPh>
    <rPh sb="6" eb="8">
      <t>ウチワケ</t>
    </rPh>
    <phoneticPr fontId="2"/>
  </si>
  <si>
    <t>就学前</t>
  </si>
  <si>
    <t>県外</t>
  </si>
  <si>
    <t>大学生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</si>
</sst>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2">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8"/>
      <color indexed="8"/>
      <name val="BIZ UDPゴシック"/>
      <family val="3"/>
      <charset val="128"/>
    </font>
    <font>
      <sz val="12"/>
      <color indexed="10"/>
      <name val="BIZ UDPゴシック"/>
      <family val="3"/>
      <charset val="128"/>
    </font>
    <font>
      <sz val="12"/>
      <color rgb="FF000000"/>
      <name val="BIZ UDPゴシック"/>
      <family val="3"/>
      <charset val="128"/>
    </font>
    <font>
      <sz val="14"/>
      <color indexed="1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
      <sz val="12"/>
      <color theme="1"/>
      <name val="BIZ UDPゴシック"/>
      <family val="3"/>
      <charset val="128"/>
    </font>
    <font>
      <b/>
      <sz val="14"/>
      <name val="BIZ UDPゴシック"/>
      <family val="3"/>
      <charset val="128"/>
    </font>
    <font>
      <b/>
      <sz val="18"/>
      <name val="BIZ UDPゴシック"/>
      <family val="3"/>
      <charset val="128"/>
    </font>
    <font>
      <b/>
      <sz val="16"/>
      <name val="BIZ UDPゴシック"/>
      <family val="3"/>
      <charset val="128"/>
    </font>
    <font>
      <sz val="16"/>
      <name val="BIZ UDPゴシック"/>
      <family val="3"/>
      <charset val="128"/>
    </font>
    <font>
      <sz val="11"/>
      <color indexed="8"/>
      <name val="BIZ UDPゴシック"/>
      <family val="3"/>
      <charset val="128"/>
    </font>
    <font>
      <sz val="18"/>
      <color theme="1"/>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20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lignment vertical="center"/>
    </xf>
    <xf numFmtId="0" fontId="59" fillId="0" borderId="0" applyNumberFormat="0" applyFill="0" applyBorder="0" applyAlignment="0" applyProtection="0">
      <alignment vertical="center"/>
    </xf>
    <xf numFmtId="0" fontId="60" fillId="0" borderId="0">
      <alignment vertical="center"/>
    </xf>
  </cellStyleXfs>
  <cellXfs count="1155">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6" fillId="0" borderId="0" xfId="2" applyFont="1">
      <alignment vertical="center"/>
    </xf>
    <xf numFmtId="0" fontId="37"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49" fillId="3" borderId="34" xfId="2" applyFont="1" applyFill="1" applyBorder="1" applyAlignment="1">
      <alignment vertical="center" textRotation="255" wrapText="1" shrinkToFit="1"/>
    </xf>
    <xf numFmtId="0" fontId="49" fillId="3" borderId="0" xfId="2" applyFont="1" applyFill="1" applyAlignment="1">
      <alignment vertical="center" wrapText="1" shrinkToFit="1"/>
    </xf>
    <xf numFmtId="0" fontId="49" fillId="3" borderId="34" xfId="2" applyFont="1" applyFill="1" applyBorder="1" applyAlignment="1">
      <alignment vertical="center" wrapText="1" shrinkToFit="1"/>
    </xf>
    <xf numFmtId="0" fontId="49" fillId="3" borderId="4" xfId="2" applyFont="1" applyFill="1" applyBorder="1" applyAlignment="1">
      <alignment vertical="center" wrapText="1" shrinkToFit="1"/>
    </xf>
    <xf numFmtId="0" fontId="49" fillId="3" borderId="85" xfId="2" applyFont="1" applyFill="1" applyBorder="1" applyAlignment="1">
      <alignment vertical="center" wrapText="1" shrinkToFit="1"/>
    </xf>
    <xf numFmtId="0" fontId="32" fillId="0" borderId="0" xfId="2" applyFont="1">
      <alignment vertical="center"/>
    </xf>
    <xf numFmtId="0" fontId="55" fillId="0" borderId="0" xfId="2" applyFont="1" applyAlignment="1">
      <alignment vertical="center" wrapText="1" shrinkToFit="1"/>
    </xf>
    <xf numFmtId="0" fontId="53" fillId="0" borderId="0" xfId="2" applyFont="1" applyAlignment="1">
      <alignment vertical="top" wrapText="1" shrinkToFit="1"/>
    </xf>
    <xf numFmtId="0" fontId="53"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1" fillId="0" borderId="0" xfId="8" applyFont="1">
      <alignment vertical="center"/>
    </xf>
    <xf numFmtId="0" fontId="60" fillId="0" borderId="0" xfId="8">
      <alignment vertical="center"/>
    </xf>
    <xf numFmtId="0" fontId="61" fillId="0" borderId="4" xfId="8" applyFont="1" applyBorder="1">
      <alignment vertical="center"/>
    </xf>
    <xf numFmtId="0" fontId="61" fillId="0" borderId="12" xfId="8" applyFont="1" applyBorder="1">
      <alignment vertical="center"/>
    </xf>
    <xf numFmtId="0" fontId="61" fillId="0" borderId="13" xfId="8" applyFont="1" applyBorder="1">
      <alignment vertical="center"/>
    </xf>
    <xf numFmtId="0" fontId="61" fillId="0" borderId="59" xfId="8" applyFont="1" applyBorder="1">
      <alignment vertical="center"/>
    </xf>
    <xf numFmtId="0" fontId="61" fillId="0" borderId="130" xfId="8" applyFont="1" applyBorder="1">
      <alignment vertical="center"/>
    </xf>
    <xf numFmtId="0" fontId="61" fillId="0" borderId="8" xfId="8" applyFont="1" applyBorder="1">
      <alignment vertical="center"/>
    </xf>
    <xf numFmtId="0" fontId="61" fillId="0" borderId="0" xfId="8" applyFont="1" applyAlignment="1">
      <alignment horizontal="right" vertical="center"/>
    </xf>
    <xf numFmtId="182" fontId="61" fillId="0" borderId="0" xfId="8" applyNumberFormat="1" applyFont="1" applyAlignment="1" applyProtection="1">
      <alignment horizontal="left" vertical="center"/>
      <protection locked="0"/>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14" fontId="60" fillId="0" borderId="0" xfId="8" applyNumberFormat="1">
      <alignment vertical="center"/>
    </xf>
    <xf numFmtId="0" fontId="61" fillId="0" borderId="0" xfId="8" applyFont="1" applyAlignment="1">
      <alignment horizontal="left" vertical="center"/>
    </xf>
    <xf numFmtId="183" fontId="60" fillId="0" borderId="0" xfId="8" applyNumberFormat="1">
      <alignment vertical="center"/>
    </xf>
    <xf numFmtId="184" fontId="60" fillId="0" borderId="0" xfId="8" applyNumberFormat="1">
      <alignment vertical="center"/>
    </xf>
    <xf numFmtId="178" fontId="65" fillId="0" borderId="139" xfId="8" applyNumberFormat="1" applyFont="1" applyBorder="1" applyProtection="1">
      <alignment vertical="center"/>
      <protection locked="0"/>
    </xf>
    <xf numFmtId="178" fontId="65" fillId="0" borderId="149" xfId="8" applyNumberFormat="1" applyFont="1" applyBorder="1" applyAlignment="1">
      <alignment vertical="top" wrapText="1"/>
    </xf>
    <xf numFmtId="181" fontId="60" fillId="0" borderId="0" xfId="8" applyNumberFormat="1">
      <alignment vertical="center"/>
    </xf>
    <xf numFmtId="178" fontId="65" fillId="0" borderId="0" xfId="8" applyNumberFormat="1" applyFont="1">
      <alignment vertical="center"/>
    </xf>
    <xf numFmtId="178" fontId="65" fillId="0" borderId="150" xfId="8" applyNumberFormat="1" applyFont="1" applyBorder="1">
      <alignment vertical="center"/>
    </xf>
    <xf numFmtId="178" fontId="65" fillId="0" borderId="147" xfId="8" applyNumberFormat="1" applyFont="1" applyBorder="1" applyProtection="1">
      <alignment vertical="center"/>
      <protection locked="0"/>
    </xf>
    <xf numFmtId="178" fontId="65" fillId="0" borderId="150" xfId="8" applyNumberFormat="1" applyFont="1" applyBorder="1" applyAlignment="1">
      <alignment vertical="top"/>
    </xf>
    <xf numFmtId="178" fontId="65" fillId="0" borderId="143" xfId="8" applyNumberFormat="1" applyFont="1" applyBorder="1" applyProtection="1">
      <alignment vertical="center"/>
      <protection locked="0"/>
    </xf>
    <xf numFmtId="178" fontId="65" fillId="0" borderId="151" xfId="8" applyNumberFormat="1" applyFont="1" applyBorder="1" applyAlignment="1">
      <alignment vertical="top"/>
    </xf>
    <xf numFmtId="185" fontId="60" fillId="0" borderId="0" xfId="8" applyNumberFormat="1">
      <alignment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0" xfId="8" applyFont="1" applyAlignment="1" applyProtection="1">
      <alignment vertical="top" shrinkToFit="1"/>
      <protection locked="0"/>
    </xf>
    <xf numFmtId="0" fontId="61" fillId="0" borderId="8" xfId="8" applyFont="1" applyBorder="1" applyAlignment="1" applyProtection="1">
      <alignment vertical="top" shrinkToFit="1"/>
      <protection locked="0"/>
    </xf>
    <xf numFmtId="0" fontId="71" fillId="0" borderId="18" xfId="8" applyFont="1" applyBorder="1" applyProtection="1">
      <alignment vertical="center"/>
      <protection locked="0"/>
    </xf>
    <xf numFmtId="0" fontId="61" fillId="0" borderId="18" xfId="8" applyFont="1" applyBorder="1" applyProtection="1">
      <alignment vertical="center"/>
      <protection locked="0"/>
    </xf>
    <xf numFmtId="0" fontId="71" fillId="0" borderId="23" xfId="8" applyFont="1" applyBorder="1" applyProtection="1">
      <alignment vertical="center"/>
      <protection locked="0"/>
    </xf>
    <xf numFmtId="0" fontId="61"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65" fillId="0" borderId="139" xfId="8" applyNumberFormat="1" applyFont="1" applyBorder="1">
      <alignment vertical="center"/>
    </xf>
    <xf numFmtId="178" fontId="65" fillId="0" borderId="18" xfId="8" applyNumberFormat="1" applyFont="1" applyBorder="1">
      <alignment vertical="center"/>
    </xf>
    <xf numFmtId="178" fontId="65" fillId="0" borderId="149" xfId="8" applyNumberFormat="1" applyFont="1" applyBorder="1">
      <alignment vertical="center"/>
    </xf>
    <xf numFmtId="178" fontId="65" fillId="0" borderId="143" xfId="8" applyNumberFormat="1" applyFont="1" applyBorder="1">
      <alignment vertical="center"/>
    </xf>
    <xf numFmtId="178" fontId="65" fillId="0" borderId="23" xfId="8" applyNumberFormat="1" applyFont="1" applyBorder="1">
      <alignment vertical="center"/>
    </xf>
    <xf numFmtId="178" fontId="65" fillId="0" borderId="151" xfId="8" applyNumberFormat="1" applyFont="1" applyBorder="1">
      <alignment vertical="center"/>
    </xf>
    <xf numFmtId="178" fontId="65" fillId="0" borderId="0" xfId="8" applyNumberFormat="1" applyFont="1" applyAlignment="1">
      <alignment horizontal="center" vertical="center"/>
    </xf>
    <xf numFmtId="178" fontId="72" fillId="0" borderId="0" xfId="8" applyNumberFormat="1" applyFont="1">
      <alignment vertical="center"/>
    </xf>
    <xf numFmtId="178" fontId="72" fillId="0" borderId="150" xfId="8" applyNumberFormat="1" applyFont="1" applyBorder="1">
      <alignment vertical="center"/>
    </xf>
    <xf numFmtId="178" fontId="72" fillId="0" borderId="147" xfId="8" applyNumberFormat="1" applyFont="1" applyBorder="1" applyAlignment="1">
      <alignment horizontal="right" vertical="center"/>
    </xf>
    <xf numFmtId="178" fontId="65" fillId="0" borderId="147" xfId="8" applyNumberFormat="1" applyFont="1" applyBorder="1" applyAlignment="1">
      <alignment horizontal="right" vertical="center"/>
    </xf>
    <xf numFmtId="178" fontId="72" fillId="0" borderId="0" xfId="8" applyNumberFormat="1" applyFont="1" applyAlignment="1">
      <alignment horizontal="center" vertical="center"/>
    </xf>
    <xf numFmtId="177" fontId="61" fillId="0" borderId="18" xfId="8" applyNumberFormat="1" applyFont="1" applyBorder="1" applyAlignment="1">
      <alignment vertical="center" shrinkToFit="1"/>
    </xf>
    <xf numFmtId="177" fontId="61" fillId="0" borderId="23" xfId="8" applyNumberFormat="1" applyFont="1" applyBorder="1" applyAlignment="1">
      <alignment vertical="center" shrinkToFit="1"/>
    </xf>
    <xf numFmtId="0" fontId="60"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3"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1" fillId="0" borderId="23" xfId="8" applyFont="1" applyBorder="1" applyAlignment="1">
      <alignment horizontal="centerContinuous" vertical="center"/>
    </xf>
    <xf numFmtId="0" fontId="61" fillId="0" borderId="23" xfId="8" applyFont="1" applyBorder="1" applyAlignment="1">
      <alignment horizontal="right" vertical="center"/>
    </xf>
    <xf numFmtId="187" fontId="61" fillId="0" borderId="23" xfId="8" applyNumberFormat="1" applyFont="1" applyBorder="1" applyAlignment="1">
      <alignment horizontal="left" vertical="center"/>
    </xf>
    <xf numFmtId="0" fontId="61" fillId="0" borderId="23" xfId="8" applyFont="1" applyBorder="1">
      <alignment vertical="center"/>
    </xf>
    <xf numFmtId="182" fontId="61" fillId="0" borderId="0" xfId="8" applyNumberFormat="1" applyFont="1" applyAlignment="1">
      <alignment horizontal="left" vertical="center"/>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8" xfId="8" applyFont="1" applyBorder="1" applyAlignment="1">
      <alignment vertical="center" wrapText="1"/>
    </xf>
    <xf numFmtId="0" fontId="61" fillId="0" borderId="23" xfId="8" applyFont="1" applyBorder="1" applyAlignment="1">
      <alignment vertical="center" wrapText="1"/>
    </xf>
    <xf numFmtId="0" fontId="61" fillId="0" borderId="139" xfId="8" applyFont="1" applyBorder="1">
      <alignment vertical="center"/>
    </xf>
    <xf numFmtId="0" fontId="61" fillId="0" borderId="147" xfId="8" applyFont="1" applyBorder="1">
      <alignment vertical="center"/>
    </xf>
    <xf numFmtId="0" fontId="61" fillId="0" borderId="143" xfId="8" applyFont="1" applyBorder="1">
      <alignment vertical="center"/>
    </xf>
    <xf numFmtId="178" fontId="65" fillId="0" borderId="147" xfId="8" applyNumberFormat="1" applyFont="1" applyBorder="1">
      <alignment vertical="center"/>
    </xf>
    <xf numFmtId="0" fontId="61" fillId="0" borderId="18" xfId="8" applyFont="1" applyBorder="1">
      <alignment vertical="center"/>
    </xf>
    <xf numFmtId="14" fontId="4" fillId="0" borderId="0" xfId="1" applyNumberFormat="1" applyFont="1" applyAlignment="1">
      <alignment horizontal="left" vertical="center"/>
    </xf>
    <xf numFmtId="179" fontId="60" fillId="0" borderId="0" xfId="8" applyNumberFormat="1">
      <alignment vertical="center"/>
    </xf>
    <xf numFmtId="183" fontId="60" fillId="0" borderId="0" xfId="8" applyNumberFormat="1" applyAlignment="1">
      <alignment horizontal="center" vertical="center"/>
    </xf>
    <xf numFmtId="49" fontId="61" fillId="0" borderId="0" xfId="8" applyNumberFormat="1" applyFont="1" applyAlignment="1">
      <alignment horizontal="left" vertical="center"/>
    </xf>
    <xf numFmtId="0" fontId="61"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1" fillId="0" borderId="0" xfId="8" applyNumberFormat="1" applyFont="1" applyAlignment="1">
      <alignment vertical="center" shrinkToFit="1"/>
    </xf>
    <xf numFmtId="0" fontId="71" fillId="0" borderId="0" xfId="8" applyFont="1" applyProtection="1">
      <alignment vertical="center"/>
      <protection locked="0"/>
    </xf>
    <xf numFmtId="0" fontId="61" fillId="0" borderId="0" xfId="8" applyFont="1" applyProtection="1">
      <alignment vertical="center"/>
      <protection locked="0"/>
    </xf>
    <xf numFmtId="20" fontId="0" fillId="0" borderId="0" xfId="0" applyNumberFormat="1">
      <alignment vertical="center"/>
    </xf>
    <xf numFmtId="0" fontId="77" fillId="0" borderId="0" xfId="0" applyFont="1">
      <alignment vertical="center"/>
    </xf>
    <xf numFmtId="0" fontId="78" fillId="0" borderId="0" xfId="8" applyFont="1" applyAlignment="1">
      <alignment horizontal="center" vertical="center" shrinkToFit="1"/>
    </xf>
    <xf numFmtId="49" fontId="78"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8" xfId="2" applyFont="1" applyFill="1" applyBorder="1" applyAlignment="1">
      <alignment vertical="center" shrinkToFit="1"/>
    </xf>
    <xf numFmtId="0" fontId="79" fillId="5" borderId="78" xfId="0" applyFont="1" applyFill="1" applyBorder="1" applyAlignment="1">
      <alignment horizontal="center" vertical="center" shrinkToFit="1"/>
    </xf>
    <xf numFmtId="185" fontId="79"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center" vertical="center" shrinkToFit="1"/>
      <protection locked="0"/>
    </xf>
    <xf numFmtId="0" fontId="79"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left" vertical="center" shrinkToFit="1"/>
      <protection locked="0"/>
    </xf>
    <xf numFmtId="0" fontId="79"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79" fillId="5" borderId="180" xfId="0" applyFont="1" applyFill="1" applyBorder="1" applyAlignment="1">
      <alignment horizontal="center" vertical="center" shrinkToFit="1"/>
    </xf>
    <xf numFmtId="0" fontId="79" fillId="5" borderId="84" xfId="0" applyFont="1" applyFill="1" applyBorder="1" applyAlignment="1">
      <alignment horizontal="center" vertical="center" shrinkToFit="1"/>
    </xf>
    <xf numFmtId="0" fontId="79" fillId="5" borderId="181" xfId="0" applyFont="1" applyFill="1" applyBorder="1" applyAlignment="1">
      <alignment horizontal="left" vertical="center" shrinkToFit="1"/>
    </xf>
    <xf numFmtId="0" fontId="77" fillId="0" borderId="163" xfId="0" applyFont="1" applyBorder="1">
      <alignment vertical="center"/>
    </xf>
    <xf numFmtId="49" fontId="78" fillId="0" borderId="164" xfId="8" applyNumberFormat="1" applyFont="1" applyBorder="1" applyAlignment="1" applyProtection="1">
      <alignment horizontal="right" vertical="center" shrinkToFit="1"/>
      <protection locked="0"/>
    </xf>
    <xf numFmtId="0" fontId="78" fillId="0" borderId="164" xfId="8" applyFont="1" applyBorder="1" applyAlignment="1" applyProtection="1">
      <alignment vertical="center" shrinkToFit="1"/>
      <protection locked="0"/>
    </xf>
    <xf numFmtId="0" fontId="78" fillId="0" borderId="164" xfId="8" applyFont="1" applyBorder="1" applyAlignment="1" applyProtection="1">
      <alignment horizontal="center" vertical="center" shrinkToFit="1"/>
      <protection locked="0"/>
    </xf>
    <xf numFmtId="49" fontId="78" fillId="0" borderId="164" xfId="8" applyNumberFormat="1" applyFont="1" applyBorder="1" applyAlignment="1" applyProtection="1">
      <alignment vertical="center" shrinkToFit="1"/>
      <protection locked="0"/>
    </xf>
    <xf numFmtId="0" fontId="78" fillId="0" borderId="164" xfId="8" applyFont="1" applyBorder="1" applyAlignment="1">
      <alignment horizontal="center" vertical="center" shrinkToFit="1"/>
    </xf>
    <xf numFmtId="0" fontId="81" fillId="0" borderId="164" xfId="8" applyFont="1" applyBorder="1" applyAlignment="1">
      <alignment horizontal="center" vertical="center" shrinkToFit="1"/>
    </xf>
    <xf numFmtId="49" fontId="81" fillId="0" borderId="164" xfId="8" applyNumberFormat="1" applyFont="1" applyBorder="1" applyAlignment="1">
      <alignment horizontal="center" vertical="center" shrinkToFit="1"/>
    </xf>
    <xf numFmtId="0" fontId="77" fillId="0" borderId="164" xfId="0" applyFont="1" applyBorder="1" applyProtection="1">
      <alignment vertical="center"/>
      <protection locked="0"/>
    </xf>
    <xf numFmtId="0" fontId="77"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84"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3" borderId="16" xfId="0" applyFont="1"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3" fillId="3" borderId="36" xfId="0" applyFont="1" applyFill="1" applyBorder="1" applyAlignment="1">
      <alignment vertical="top" wrapText="1"/>
    </xf>
    <xf numFmtId="0" fontId="83"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3"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85" fillId="0" borderId="41" xfId="0" applyFont="1" applyBorder="1" applyAlignment="1">
      <alignment horizontal="center" vertical="center"/>
    </xf>
    <xf numFmtId="0" fontId="85" fillId="0" borderId="56" xfId="0" applyFont="1" applyBorder="1" applyAlignment="1">
      <alignment horizontal="center" vertical="center"/>
    </xf>
    <xf numFmtId="0" fontId="89" fillId="0" borderId="0" xfId="0" applyFont="1">
      <alignment vertical="center"/>
    </xf>
    <xf numFmtId="0" fontId="90" fillId="0" borderId="182" xfId="0" applyFont="1" applyBorder="1" applyAlignment="1">
      <alignment horizontal="center" vertical="center"/>
    </xf>
    <xf numFmtId="0" fontId="90" fillId="0" borderId="184" xfId="0" applyFont="1" applyBorder="1" applyAlignment="1">
      <alignment horizontal="center" vertical="center" shrinkToFit="1"/>
    </xf>
    <xf numFmtId="0" fontId="90" fillId="4" borderId="185" xfId="0" applyFont="1" applyFill="1" applyBorder="1" applyAlignment="1">
      <alignment horizontal="center" vertical="center"/>
    </xf>
    <xf numFmtId="0" fontId="90" fillId="0" borderId="184" xfId="0" applyFont="1" applyBorder="1" applyAlignment="1">
      <alignment horizontal="center" vertical="center"/>
    </xf>
    <xf numFmtId="0" fontId="90" fillId="4" borderId="182" xfId="0" applyFont="1" applyFill="1" applyBorder="1" applyAlignment="1">
      <alignment horizontal="center" vertical="center"/>
    </xf>
    <xf numFmtId="0" fontId="91" fillId="0" borderId="0" xfId="0" applyFont="1">
      <alignment vertical="center"/>
    </xf>
    <xf numFmtId="0" fontId="85" fillId="0" borderId="129" xfId="0" applyFont="1" applyBorder="1" applyAlignment="1">
      <alignment horizontal="center" vertical="center"/>
    </xf>
    <xf numFmtId="0" fontId="85" fillId="0" borderId="189" xfId="0" applyFont="1" applyBorder="1" applyAlignment="1">
      <alignment horizontal="center" vertical="center"/>
    </xf>
    <xf numFmtId="0" fontId="85"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85" fillId="0" borderId="0" xfId="0" applyFont="1">
      <alignment vertical="center"/>
    </xf>
    <xf numFmtId="0" fontId="85" fillId="0" borderId="191" xfId="0" applyFont="1" applyBorder="1">
      <alignment vertical="center"/>
    </xf>
    <xf numFmtId="0" fontId="85" fillId="0" borderId="192" xfId="0" applyFont="1" applyBorder="1">
      <alignment vertical="center"/>
    </xf>
    <xf numFmtId="177" fontId="92" fillId="0" borderId="130" xfId="0" applyNumberFormat="1" applyFont="1" applyBorder="1" applyAlignment="1">
      <alignment horizontal="center" vertical="center" shrinkToFit="1"/>
    </xf>
    <xf numFmtId="0" fontId="85" fillId="0" borderId="193" xfId="0" applyFont="1" applyBorder="1">
      <alignment vertical="center"/>
    </xf>
    <xf numFmtId="177" fontId="23" fillId="0" borderId="130" xfId="0" applyNumberFormat="1" applyFont="1" applyBorder="1" applyAlignment="1">
      <alignment horizontal="center" vertical="center" shrinkToFit="1"/>
    </xf>
    <xf numFmtId="0" fontId="85" fillId="0" borderId="0" xfId="0" applyFont="1" applyAlignment="1">
      <alignment horizontal="center" vertical="center"/>
    </xf>
    <xf numFmtId="0" fontId="85" fillId="0" borderId="191" xfId="0" applyFont="1" applyBorder="1" applyAlignment="1">
      <alignment horizontal="center" vertical="center"/>
    </xf>
    <xf numFmtId="177" fontId="92"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85" fillId="0" borderId="37" xfId="0" applyFont="1" applyBorder="1">
      <alignment vertical="center"/>
    </xf>
    <xf numFmtId="0" fontId="85" fillId="0" borderId="121" xfId="0" applyFont="1" applyBorder="1">
      <alignment vertical="center"/>
    </xf>
    <xf numFmtId="0" fontId="85" fillId="0" borderId="194" xfId="0" applyFont="1" applyBorder="1">
      <alignment vertical="center"/>
    </xf>
    <xf numFmtId="0" fontId="85" fillId="0" borderId="130" xfId="0" applyFont="1" applyBorder="1">
      <alignment vertical="center"/>
    </xf>
    <xf numFmtId="0" fontId="85" fillId="0" borderId="8" xfId="0" applyFont="1" applyBorder="1">
      <alignment vertical="center"/>
    </xf>
    <xf numFmtId="0" fontId="0" fillId="0" borderId="0" xfId="0" applyAlignment="1">
      <alignment horizontal="center" vertical="center"/>
    </xf>
    <xf numFmtId="0" fontId="93" fillId="0" borderId="58" xfId="0" applyFont="1" applyBorder="1">
      <alignment vertical="center"/>
    </xf>
    <xf numFmtId="14" fontId="93" fillId="0" borderId="58" xfId="0" applyNumberFormat="1" applyFont="1" applyBorder="1">
      <alignment vertical="center"/>
    </xf>
    <xf numFmtId="0" fontId="93" fillId="0" borderId="195" xfId="0" applyFont="1" applyBorder="1" applyAlignment="1">
      <alignment horizontal="right" vertical="center"/>
    </xf>
    <xf numFmtId="177" fontId="93" fillId="0" borderId="58" xfId="0" applyNumberFormat="1" applyFont="1" applyBorder="1">
      <alignment vertical="center"/>
    </xf>
    <xf numFmtId="20" fontId="93" fillId="0" borderId="58" xfId="0" applyNumberFormat="1" applyFont="1" applyBorder="1">
      <alignment vertical="center"/>
    </xf>
    <xf numFmtId="56" fontId="93" fillId="0" borderId="58" xfId="0" applyNumberFormat="1" applyFont="1" applyBorder="1">
      <alignment vertical="center"/>
    </xf>
    <xf numFmtId="0" fontId="93" fillId="0" borderId="0" xfId="0" applyFont="1">
      <alignment vertical="center"/>
    </xf>
    <xf numFmtId="0" fontId="93" fillId="0" borderId="196" xfId="0" applyFont="1" applyBorder="1" applyAlignment="1">
      <alignment horizontal="right" vertical="center"/>
    </xf>
    <xf numFmtId="20" fontId="93" fillId="0" borderId="0" xfId="0" applyNumberFormat="1" applyFont="1">
      <alignment vertical="center"/>
    </xf>
    <xf numFmtId="177" fontId="93" fillId="0" borderId="0" xfId="0" applyNumberFormat="1" applyFont="1">
      <alignment vertical="center"/>
    </xf>
    <xf numFmtId="0" fontId="93" fillId="0" borderId="0" xfId="0" applyFont="1" applyAlignment="1">
      <alignment horizontal="left" vertical="center"/>
    </xf>
    <xf numFmtId="14" fontId="93" fillId="0" borderId="0" xfId="0" applyNumberFormat="1" applyFont="1" applyAlignment="1">
      <alignment horizontal="left" vertical="center"/>
    </xf>
    <xf numFmtId="0" fontId="93" fillId="0" borderId="12" xfId="0" applyFont="1" applyBorder="1">
      <alignment vertical="center"/>
    </xf>
    <xf numFmtId="177" fontId="93" fillId="0" borderId="13" xfId="0" applyNumberFormat="1" applyFont="1" applyBorder="1" applyAlignment="1">
      <alignment horizontal="right" vertical="center"/>
    </xf>
    <xf numFmtId="192" fontId="93" fillId="0" borderId="0" xfId="0" applyNumberFormat="1" applyFont="1">
      <alignment vertical="center"/>
    </xf>
    <xf numFmtId="177" fontId="93" fillId="0" borderId="195" xfId="0" applyNumberFormat="1" applyFont="1" applyBorder="1" applyAlignment="1">
      <alignment horizontal="right" vertical="center"/>
    </xf>
    <xf numFmtId="0" fontId="93" fillId="0" borderId="130" xfId="0" applyFont="1" applyBorder="1">
      <alignment vertical="center"/>
    </xf>
    <xf numFmtId="177" fontId="93" fillId="0" borderId="0" xfId="0" applyNumberFormat="1" applyFont="1" applyAlignment="1">
      <alignment horizontal="right" vertical="center"/>
    </xf>
    <xf numFmtId="177" fontId="93" fillId="0" borderId="196" xfId="0" applyNumberFormat="1" applyFont="1" applyBorder="1" applyAlignment="1">
      <alignment horizontal="right" vertical="center"/>
    </xf>
    <xf numFmtId="0" fontId="93" fillId="0" borderId="9" xfId="0" applyFont="1" applyBorder="1">
      <alignment vertical="center"/>
    </xf>
    <xf numFmtId="177" fontId="93" fillId="0" borderId="4" xfId="0" applyNumberFormat="1" applyFont="1" applyBorder="1" applyAlignment="1">
      <alignment horizontal="right" vertical="center"/>
    </xf>
    <xf numFmtId="177" fontId="93" fillId="0" borderId="197" xfId="0" applyNumberFormat="1" applyFont="1" applyBorder="1" applyAlignment="1">
      <alignment horizontal="right" vertical="center"/>
    </xf>
    <xf numFmtId="0" fontId="93" fillId="0" borderId="39" xfId="0" applyFont="1" applyBorder="1">
      <alignment vertical="center"/>
    </xf>
    <xf numFmtId="0" fontId="93" fillId="0" borderId="5"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177" fontId="94" fillId="0" borderId="0" xfId="0" applyNumberFormat="1" applyFont="1">
      <alignment vertical="center"/>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3" fillId="0" borderId="1" xfId="0" applyNumberFormat="1" applyFont="1" applyBorder="1" applyAlignment="1">
      <alignment horizontal="right" vertical="center"/>
    </xf>
    <xf numFmtId="177" fontId="93" fillId="0" borderId="1" xfId="0" applyNumberFormat="1" applyFont="1" applyBorder="1">
      <alignment vertical="center"/>
    </xf>
    <xf numFmtId="177" fontId="94" fillId="0" borderId="1" xfId="0" applyNumberFormat="1" applyFont="1" applyBorder="1">
      <alignment vertical="center"/>
    </xf>
    <xf numFmtId="0" fontId="93" fillId="0" borderId="171" xfId="0" applyFont="1" applyBorder="1">
      <alignment vertical="center"/>
    </xf>
    <xf numFmtId="177" fontId="93" fillId="0" borderId="136" xfId="0" applyNumberFormat="1" applyFont="1" applyBorder="1" applyAlignment="1">
      <alignment horizontal="right" vertical="center"/>
    </xf>
    <xf numFmtId="177" fontId="93" fillId="0" borderId="56" xfId="0" applyNumberFormat="1" applyFont="1" applyBorder="1">
      <alignment vertical="center"/>
    </xf>
    <xf numFmtId="0" fontId="93" fillId="0" borderId="131" xfId="0" applyFont="1" applyBorder="1">
      <alignment vertical="center"/>
    </xf>
    <xf numFmtId="177" fontId="93" fillId="0" borderId="198" xfId="0" applyNumberFormat="1" applyFont="1" applyBorder="1">
      <alignment vertical="center"/>
    </xf>
    <xf numFmtId="0" fontId="93" fillId="0" borderId="162" xfId="0" applyFont="1" applyBorder="1">
      <alignment vertical="center"/>
    </xf>
    <xf numFmtId="177" fontId="93" fillId="0" borderId="47" xfId="0" applyNumberFormat="1" applyFont="1" applyBorder="1" applyAlignment="1">
      <alignment horizontal="right" vertical="center"/>
    </xf>
    <xf numFmtId="177" fontId="93" fillId="0" borderId="57" xfId="0" applyNumberFormat="1" applyFont="1" applyBorder="1">
      <alignment vertical="center"/>
    </xf>
    <xf numFmtId="177" fontId="93" fillId="0" borderId="131" xfId="0" applyNumberFormat="1" applyFont="1" applyBorder="1">
      <alignment vertical="center"/>
    </xf>
    <xf numFmtId="177" fontId="93" fillId="0" borderId="47" xfId="0" applyNumberFormat="1" applyFont="1" applyBorder="1">
      <alignment vertical="center"/>
    </xf>
    <xf numFmtId="177" fontId="93" fillId="0" borderId="136" xfId="0" applyNumberFormat="1" applyFont="1" applyBorder="1">
      <alignment vertical="center"/>
    </xf>
    <xf numFmtId="0" fontId="0" fillId="0" borderId="171" xfId="0" applyBorder="1">
      <alignment vertical="center"/>
    </xf>
    <xf numFmtId="177" fontId="94"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94"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84" fillId="7" borderId="17" xfId="0" applyFont="1" applyFill="1" applyBorder="1">
      <alignment vertical="center"/>
    </xf>
    <xf numFmtId="0" fontId="49" fillId="3" borderId="3" xfId="2" applyFont="1" applyFill="1" applyBorder="1" applyAlignment="1">
      <alignment vertical="center" textRotation="255" wrapText="1" shrinkToFit="1"/>
    </xf>
    <xf numFmtId="0" fontId="49" fillId="3" borderId="112" xfId="2" applyFont="1" applyFill="1" applyBorder="1" applyAlignment="1">
      <alignment vertical="center" textRotation="255" wrapText="1" shrinkToFit="1"/>
    </xf>
    <xf numFmtId="0" fontId="49" fillId="3" borderId="0" xfId="2" applyFont="1" applyFill="1" applyAlignment="1">
      <alignment vertical="center" textRotation="255" wrapText="1" shrinkToFit="1"/>
    </xf>
    <xf numFmtId="0" fontId="37" fillId="0" borderId="202" xfId="2" applyFont="1" applyBorder="1">
      <alignment vertical="center"/>
    </xf>
    <xf numFmtId="0" fontId="37" fillId="0" borderId="203" xfId="2" applyFont="1" applyBorder="1">
      <alignment vertical="center"/>
    </xf>
    <xf numFmtId="190" fontId="37" fillId="3" borderId="130" xfId="2" applyNumberFormat="1" applyFont="1" applyFill="1" applyBorder="1" applyAlignment="1">
      <alignment horizontal="center" vertical="center" shrinkToFit="1"/>
    </xf>
    <xf numFmtId="190" fontId="37" fillId="3" borderId="41" xfId="2" applyNumberFormat="1" applyFont="1" applyFill="1" applyBorder="1" applyAlignment="1">
      <alignment horizontal="center" vertical="center" shrinkToFit="1"/>
    </xf>
    <xf numFmtId="0" fontId="96" fillId="0" borderId="0" xfId="2" applyFont="1" applyAlignment="1">
      <alignment vertical="center" wrapText="1" shrinkToFit="1"/>
    </xf>
    <xf numFmtId="0" fontId="97" fillId="0" borderId="1" xfId="2" applyFont="1" applyBorder="1" applyAlignment="1">
      <alignment vertical="center" textRotation="255" shrinkToFit="1"/>
    </xf>
    <xf numFmtId="0" fontId="98" fillId="0" borderId="0" xfId="2" applyFont="1" applyAlignment="1">
      <alignment vertical="top" wrapText="1" shrinkToFit="1"/>
    </xf>
    <xf numFmtId="0" fontId="99" fillId="0" borderId="0" xfId="2" applyFont="1" applyAlignment="1">
      <alignment vertical="top" wrapText="1" shrinkToFit="1"/>
    </xf>
    <xf numFmtId="0" fontId="35" fillId="0" borderId="0" xfId="2" applyFont="1" applyAlignment="1">
      <alignment vertical="center" shrinkToFit="1"/>
    </xf>
    <xf numFmtId="0" fontId="100" fillId="3" borderId="0" xfId="2" applyFont="1" applyFill="1" applyAlignment="1">
      <alignment vertical="center" shrinkToFit="1"/>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8" xfId="1" applyFont="1" applyBorder="1" applyAlignment="1" applyProtection="1">
      <alignment horizontal="center"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52"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56" fillId="0" borderId="36" xfId="5" applyBorder="1" applyAlignment="1" applyProtection="1">
      <alignment horizontal="center" vertical="center" shrinkToFit="1"/>
      <protection locked="0"/>
    </xf>
    <xf numFmtId="0" fontId="56" fillId="0" borderId="2" xfId="5" applyBorder="1" applyAlignment="1" applyProtection="1">
      <alignment horizontal="center" vertical="center" shrinkToFit="1"/>
      <protection locked="0"/>
    </xf>
    <xf numFmtId="0" fontId="56" fillId="0" borderId="84" xfId="5" applyBorder="1" applyAlignment="1" applyProtection="1">
      <alignment horizontal="center" vertical="center" shrinkToFit="1"/>
      <protection locked="0"/>
    </xf>
    <xf numFmtId="0" fontId="56"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11" fillId="3" borderId="12" xfId="1" applyFont="1" applyFill="1" applyBorder="1" applyAlignment="1">
      <alignment horizontal="center" vertical="center" wrapText="1"/>
    </xf>
    <xf numFmtId="0" fontId="11" fillId="3" borderId="130" xfId="1" applyFont="1" applyFill="1" applyBorder="1" applyAlignment="1">
      <alignment horizontal="center" vertical="center"/>
    </xf>
    <xf numFmtId="0" fontId="37" fillId="3" borderId="93"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textRotation="255" wrapText="1" shrinkToFit="1"/>
    </xf>
    <xf numFmtId="0" fontId="32" fillId="3" borderId="107" xfId="2" applyFont="1" applyFill="1" applyBorder="1" applyAlignment="1">
      <alignment horizontal="center" vertical="center" textRotation="255" shrinkToFit="1"/>
    </xf>
    <xf numFmtId="0" fontId="32" fillId="3" borderId="107"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0" fontId="37" fillId="3" borderId="90" xfId="2" applyFont="1" applyFill="1" applyBorder="1" applyAlignment="1">
      <alignment horizontal="center" vertical="center" shrinkToFit="1"/>
    </xf>
    <xf numFmtId="0" fontId="32" fillId="3" borderId="89"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0" fontId="32" fillId="3" borderId="94"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0" fontId="37" fillId="3" borderId="199" xfId="2" applyFont="1" applyFill="1" applyBorder="1" applyAlignment="1">
      <alignment horizontal="center" vertical="center" shrinkToFit="1"/>
    </xf>
    <xf numFmtId="0" fontId="37" fillId="3" borderId="200" xfId="2" applyFont="1" applyFill="1" applyBorder="1" applyAlignment="1">
      <alignment horizontal="center" vertical="center" shrinkToFit="1"/>
    </xf>
    <xf numFmtId="190" fontId="37" fillId="3" borderId="201" xfId="2" applyNumberFormat="1" applyFont="1" applyFill="1" applyBorder="1" applyAlignment="1">
      <alignment horizontal="center" vertical="center" shrinkToFit="1"/>
    </xf>
    <xf numFmtId="190" fontId="37" fillId="3" borderId="197" xfId="2" applyNumberFormat="1" applyFont="1" applyFill="1" applyBorder="1" applyAlignment="1">
      <alignment horizontal="center" vertical="center"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3" borderId="125"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2" fillId="3" borderId="106" xfId="2" applyFont="1" applyFill="1" applyBorder="1" applyAlignment="1">
      <alignment horizontal="center" vertical="center" shrinkToFit="1"/>
    </xf>
    <xf numFmtId="0" fontId="32" fillId="0" borderId="204" xfId="2" applyFont="1" applyBorder="1" applyAlignment="1" applyProtection="1">
      <alignment horizontal="center" vertical="center" shrinkToFit="1"/>
      <protection locked="0"/>
    </xf>
    <xf numFmtId="0" fontId="32" fillId="3" borderId="121" xfId="2" applyFont="1" applyFill="1" applyBorder="1" applyAlignment="1">
      <alignment horizontal="center" vertical="center" shrinkToFit="1"/>
    </xf>
    <xf numFmtId="0" fontId="32" fillId="3" borderId="55" xfId="2" applyFont="1" applyFill="1" applyBorder="1" applyAlignment="1">
      <alignment horizontal="center" vertical="center" shrinkToFit="1"/>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32" fillId="3" borderId="135" xfId="2" applyFont="1" applyFill="1" applyBorder="1" applyAlignment="1">
      <alignment horizontal="center" vertical="center" shrinkToFit="1"/>
    </xf>
    <xf numFmtId="0" fontId="37" fillId="3" borderId="36" xfId="2" applyFont="1" applyFill="1" applyBorder="1" applyAlignment="1">
      <alignment horizontal="center" vertical="center"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2" fillId="3" borderId="89" xfId="2" applyFont="1" applyFill="1" applyBorder="1" applyAlignment="1">
      <alignment horizontal="center" vertical="center" textRotation="255" shrinkToFit="1"/>
    </xf>
    <xf numFmtId="0" fontId="32" fillId="3" borderId="96" xfId="2" applyFont="1" applyFill="1" applyBorder="1" applyAlignment="1">
      <alignment horizontal="center" vertical="center" textRotation="255" shrinkToFit="1"/>
    </xf>
    <xf numFmtId="0" fontId="37" fillId="3" borderId="46" xfId="2" applyFont="1" applyFill="1" applyBorder="1" applyAlignment="1">
      <alignment horizontal="center" vertical="center" wrapText="1"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2" fillId="3" borderId="96" xfId="2" applyFont="1" applyFill="1" applyBorder="1" applyAlignment="1">
      <alignment horizontal="center" vertical="center" wrapText="1" shrinkToFit="1"/>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0" fontId="37" fillId="3" borderId="46"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95" fillId="0" borderId="84" xfId="0" applyFont="1" applyBorder="1" applyAlignment="1">
      <alignment horizontal="center" vertical="center" shrinkToFit="1"/>
    </xf>
    <xf numFmtId="0" fontId="95" fillId="0" borderId="4" xfId="0" applyFont="1" applyBorder="1" applyAlignment="1">
      <alignment horizontal="center" vertical="center" shrinkToFit="1"/>
    </xf>
    <xf numFmtId="0" fontId="95" fillId="0" borderId="10" xfId="0" applyFont="1" applyBorder="1" applyAlignment="1">
      <alignment horizontal="center" vertical="center" shrinkToFit="1"/>
    </xf>
    <xf numFmtId="0" fontId="37" fillId="3" borderId="39" xfId="2" applyFont="1" applyFill="1" applyBorder="1" applyAlignment="1">
      <alignment horizontal="center" vertical="center" wrapText="1"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0" fontId="37" fillId="0" borderId="0" xfId="2" applyFont="1" applyAlignment="1">
      <alignment horizontal="center" vertical="center"/>
    </xf>
    <xf numFmtId="0" fontId="44" fillId="0" borderId="116" xfId="2" applyFont="1" applyBorder="1" applyAlignment="1">
      <alignment horizontal="center" vertical="center"/>
    </xf>
    <xf numFmtId="0" fontId="49" fillId="3" borderId="17" xfId="2" applyFont="1" applyFill="1" applyBorder="1" applyAlignment="1">
      <alignment horizontal="center" vertical="center" textRotation="255" wrapText="1" shrinkToFit="1"/>
    </xf>
    <xf numFmtId="0" fontId="49" fillId="3" borderId="3" xfId="2" applyFont="1" applyFill="1" applyBorder="1" applyAlignment="1">
      <alignment horizontal="center" vertical="center" textRotation="255" wrapText="1" shrinkToFit="1"/>
    </xf>
    <xf numFmtId="0" fontId="49" fillId="3" borderId="11" xfId="2" applyFont="1" applyFill="1" applyBorder="1" applyAlignment="1">
      <alignment horizontal="center" vertical="center" textRotation="255" wrapText="1"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52" fillId="3" borderId="96" xfId="2" applyFont="1" applyFill="1" applyBorder="1" applyAlignment="1">
      <alignment horizontal="center" vertical="center" textRotation="255" wrapText="1" shrinkToFit="1"/>
    </xf>
    <xf numFmtId="0" fontId="52" fillId="3" borderId="107" xfId="2" applyFont="1" applyFill="1" applyBorder="1" applyAlignment="1">
      <alignment horizontal="center" vertical="center" textRotation="255" shrinkToFit="1"/>
    </xf>
    <xf numFmtId="0" fontId="49" fillId="3" borderId="0" xfId="2" applyFont="1" applyFill="1" applyAlignment="1">
      <alignment horizontal="center" vertical="center" textRotation="255" wrapText="1" shrinkToFit="1"/>
    </xf>
    <xf numFmtId="0" fontId="49" fillId="3" borderId="34" xfId="2" applyFont="1" applyFill="1" applyBorder="1" applyAlignment="1">
      <alignment horizontal="center" vertical="center" textRotation="255" wrapText="1" shrinkToFit="1"/>
    </xf>
    <xf numFmtId="0" fontId="49" fillId="3" borderId="4" xfId="2" applyFont="1" applyFill="1" applyBorder="1" applyAlignment="1">
      <alignment horizontal="center" vertical="center" textRotation="255" wrapText="1" shrinkToFit="1"/>
    </xf>
    <xf numFmtId="0" fontId="49" fillId="3" borderId="85" xfId="2" applyFont="1" applyFill="1" applyBorder="1" applyAlignment="1">
      <alignment horizontal="center" vertical="center" textRotation="255" wrapText="1" shrinkToFit="1"/>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0" fontId="49" fillId="3" borderId="76" xfId="2" applyFont="1" applyFill="1" applyBorder="1" applyAlignment="1">
      <alignment horizontal="center" vertical="center" textRotation="255" shrinkToFit="1"/>
    </xf>
    <xf numFmtId="0" fontId="49" fillId="3" borderId="77" xfId="2" applyFont="1" applyFill="1" applyBorder="1" applyAlignment="1">
      <alignment horizontal="center" vertical="center" textRotation="255" shrinkToFit="1"/>
    </xf>
    <xf numFmtId="0" fontId="49"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32" fillId="3" borderId="41"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0" fontId="49" fillId="3" borderId="76" xfId="2" applyFont="1" applyFill="1" applyBorder="1" applyAlignment="1">
      <alignment horizontal="center" vertical="center" wrapText="1"/>
    </xf>
    <xf numFmtId="0" fontId="49" fillId="3" borderId="77" xfId="2" applyFont="1" applyFill="1" applyBorder="1" applyAlignment="1">
      <alignment horizontal="center" vertical="center" wrapText="1"/>
    </xf>
    <xf numFmtId="0" fontId="49" fillId="3" borderId="78" xfId="2" applyFont="1" applyFill="1" applyBorder="1" applyAlignment="1">
      <alignment horizontal="center" vertical="center" wrapText="1"/>
    </xf>
    <xf numFmtId="0" fontId="37" fillId="3" borderId="80" xfId="2" applyFont="1" applyFill="1" applyBorder="1" applyAlignment="1">
      <alignment horizontal="center" vertical="center" wrapText="1" shrinkToFit="1"/>
    </xf>
    <xf numFmtId="0" fontId="49" fillId="3" borderId="80" xfId="2" applyFont="1" applyFill="1" applyBorder="1" applyAlignment="1">
      <alignment horizontal="center" vertical="center" shrinkToFit="1"/>
    </xf>
    <xf numFmtId="0" fontId="49" fillId="3" borderId="13" xfId="2" applyFont="1" applyFill="1" applyBorder="1" applyAlignment="1">
      <alignment horizontal="center" vertical="center" shrinkToFit="1"/>
    </xf>
    <xf numFmtId="0" fontId="49" fillId="3" borderId="81" xfId="2" applyFont="1" applyFill="1" applyBorder="1" applyAlignment="1">
      <alignment horizontal="center" vertical="center" shrinkToFit="1"/>
    </xf>
    <xf numFmtId="0" fontId="49" fillId="3" borderId="39" xfId="2" applyFont="1" applyFill="1" applyBorder="1" applyAlignment="1">
      <alignment horizontal="center" vertical="center" shrinkToFit="1"/>
    </xf>
    <xf numFmtId="0" fontId="49" fillId="3" borderId="0" xfId="2" applyFont="1" applyFill="1" applyAlignment="1">
      <alignment horizontal="center" vertical="center" shrinkToFit="1"/>
    </xf>
    <xf numFmtId="0" fontId="49" fillId="3" borderId="34" xfId="2" applyFont="1" applyFill="1" applyBorder="1" applyAlignment="1">
      <alignment horizontal="center" vertical="center" shrinkToFit="1"/>
    </xf>
    <xf numFmtId="0" fontId="49" fillId="3" borderId="84" xfId="2" applyFont="1" applyFill="1" applyBorder="1" applyAlignment="1">
      <alignment horizontal="center" vertical="center" shrinkToFit="1"/>
    </xf>
    <xf numFmtId="0" fontId="49" fillId="3" borderId="4" xfId="2" applyFont="1" applyFill="1" applyBorder="1" applyAlignment="1">
      <alignment horizontal="center" vertical="center" shrinkToFit="1"/>
    </xf>
    <xf numFmtId="0" fontId="49" fillId="3" borderId="85" xfId="2" applyFont="1" applyFill="1" applyBorder="1" applyAlignment="1">
      <alignment horizontal="center" vertical="center" shrinkToFit="1"/>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40" fillId="3" borderId="13"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51" fillId="3" borderId="80" xfId="2" applyFont="1" applyFill="1" applyBorder="1" applyAlignment="1">
      <alignment horizontal="center" vertical="center" wrapText="1" shrinkToFit="1"/>
    </xf>
    <xf numFmtId="0" fontId="51" fillId="3" borderId="13" xfId="2" applyFont="1" applyFill="1" applyBorder="1" applyAlignment="1">
      <alignment horizontal="center" vertical="center" wrapText="1" shrinkToFit="1"/>
    </xf>
    <xf numFmtId="0" fontId="51" fillId="3" borderId="81" xfId="2" applyFont="1" applyFill="1" applyBorder="1" applyAlignment="1">
      <alignment horizontal="center" vertical="center" wrapText="1" shrinkToFit="1"/>
    </xf>
    <xf numFmtId="0" fontId="51" fillId="3" borderId="39" xfId="2" applyFont="1" applyFill="1" applyBorder="1" applyAlignment="1">
      <alignment horizontal="center" vertical="center" wrapText="1" shrinkToFit="1"/>
    </xf>
    <xf numFmtId="0" fontId="51" fillId="3" borderId="0" xfId="2" applyFont="1" applyFill="1" applyAlignment="1">
      <alignment horizontal="center" vertical="center" wrapText="1" shrinkToFit="1"/>
    </xf>
    <xf numFmtId="0" fontId="51" fillId="3" borderId="34" xfId="2" applyFont="1" applyFill="1" applyBorder="1" applyAlignment="1">
      <alignment horizontal="center" vertical="center" wrapText="1" shrinkToFit="1"/>
    </xf>
    <xf numFmtId="0" fontId="51" fillId="3" borderId="84" xfId="2" applyFont="1" applyFill="1" applyBorder="1" applyAlignment="1">
      <alignment horizontal="center" vertical="center" wrapText="1" shrinkToFit="1"/>
    </xf>
    <xf numFmtId="0" fontId="51" fillId="3" borderId="4" xfId="2" applyFont="1" applyFill="1" applyBorder="1" applyAlignment="1">
      <alignment horizontal="center" vertical="center" wrapText="1" shrinkToFit="1"/>
    </xf>
    <xf numFmtId="0" fontId="51" fillId="3" borderId="85" xfId="2" applyFont="1" applyFill="1" applyBorder="1" applyAlignment="1">
      <alignment horizontal="center" vertical="center" wrapText="1" shrinkToFit="1"/>
    </xf>
    <xf numFmtId="0" fontId="37" fillId="3" borderId="36" xfId="2" applyFont="1" applyFill="1" applyBorder="1" applyAlignment="1" applyProtection="1">
      <alignment horizontal="center" vertical="center" shrinkToFit="1"/>
      <protection locked="0"/>
    </xf>
    <xf numFmtId="0" fontId="37" fillId="3" borderId="38" xfId="2" applyFont="1" applyFill="1" applyBorder="1" applyAlignment="1" applyProtection="1">
      <alignment horizontal="center" vertical="center" shrinkToFit="1"/>
      <protection locked="0"/>
    </xf>
    <xf numFmtId="0" fontId="37" fillId="3" borderId="37" xfId="2" applyFont="1" applyFill="1" applyBorder="1" applyAlignment="1" applyProtection="1">
      <alignment horizontal="center" vertical="center" shrinkToFit="1"/>
      <protection locked="0"/>
    </xf>
    <xf numFmtId="0" fontId="37" fillId="3" borderId="95" xfId="2" applyFont="1" applyFill="1" applyBorder="1" applyAlignment="1" applyProtection="1">
      <alignment horizontal="center" vertical="center" shrinkToFit="1"/>
      <protection locked="0"/>
    </xf>
    <xf numFmtId="0" fontId="37" fillId="3" borderId="39" xfId="2" applyFont="1" applyFill="1" applyBorder="1" applyAlignment="1">
      <alignment horizontal="center" vertical="center" shrinkToFit="1"/>
    </xf>
    <xf numFmtId="0" fontId="49" fillId="3" borderId="110" xfId="2" applyFont="1" applyFill="1" applyBorder="1" applyAlignment="1">
      <alignment horizontal="center" vertical="center" textRotation="255" wrapText="1" shrinkToFit="1"/>
    </xf>
    <xf numFmtId="0" fontId="32" fillId="3" borderId="134" xfId="2" applyFont="1" applyFill="1" applyBorder="1" applyAlignment="1">
      <alignment horizontal="center" vertical="center" shrinkToFit="1"/>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2" fillId="3" borderId="87" xfId="2" applyFont="1" applyFill="1" applyBorder="1" applyAlignment="1">
      <alignment horizontal="center" vertical="center" shrinkToFit="1"/>
    </xf>
    <xf numFmtId="0" fontId="32" fillId="3" borderId="88" xfId="2" applyFont="1" applyFill="1" applyBorder="1" applyAlignment="1">
      <alignment horizontal="center" vertical="center" shrinkToFit="1"/>
    </xf>
    <xf numFmtId="0" fontId="32" fillId="0" borderId="86" xfId="2" applyFont="1" applyBorder="1" applyAlignment="1">
      <alignment horizontal="center" vertical="center" shrinkToFit="1"/>
    </xf>
    <xf numFmtId="0" fontId="32" fillId="0" borderId="87" xfId="2" applyFont="1" applyBorder="1" applyAlignment="1">
      <alignment horizontal="center" vertical="center" shrinkToFit="1"/>
    </xf>
    <xf numFmtId="0" fontId="32" fillId="0" borderId="204" xfId="2" applyFont="1" applyBorder="1" applyAlignment="1">
      <alignment horizontal="center" vertical="center" shrinkToFit="1"/>
    </xf>
    <xf numFmtId="0" fontId="49" fillId="3" borderId="195" xfId="2" applyFont="1" applyFill="1" applyBorder="1" applyAlignment="1">
      <alignment horizontal="center" vertical="center" wrapText="1"/>
    </xf>
    <xf numFmtId="0" fontId="49" fillId="3" borderId="196" xfId="2" applyFont="1" applyFill="1" applyBorder="1" applyAlignment="1">
      <alignment horizontal="center" vertical="center" wrapText="1"/>
    </xf>
    <xf numFmtId="0" fontId="49" fillId="3" borderId="197" xfId="2" applyFont="1" applyFill="1" applyBorder="1" applyAlignment="1">
      <alignment horizontal="center" vertical="center" wrapText="1"/>
    </xf>
    <xf numFmtId="0" fontId="49" fillId="3" borderId="12" xfId="2" applyFont="1" applyFill="1" applyBorder="1" applyAlignment="1">
      <alignment horizontal="center" vertical="center" textRotation="255" wrapText="1" shrinkToFit="1"/>
    </xf>
    <xf numFmtId="0" fontId="49" fillId="3" borderId="81" xfId="2" applyFont="1" applyFill="1" applyBorder="1" applyAlignment="1">
      <alignment horizontal="center" vertical="center" textRotation="255" wrapText="1" shrinkToFit="1"/>
    </xf>
    <xf numFmtId="0" fontId="49" fillId="3" borderId="130" xfId="2" applyFont="1" applyFill="1" applyBorder="1" applyAlignment="1">
      <alignment horizontal="center" vertical="center" textRotation="255" wrapText="1" shrinkToFit="1"/>
    </xf>
    <xf numFmtId="0" fontId="49" fillId="3" borderId="112" xfId="2" applyFont="1" applyFill="1" applyBorder="1" applyAlignment="1">
      <alignment horizontal="center" vertical="center" textRotation="255" wrapText="1"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9" fillId="0" borderId="0" xfId="2" applyFont="1" applyAlignment="1">
      <alignment horizontal="left" vertical="center" shrinkToFit="1"/>
    </xf>
    <xf numFmtId="0" fontId="44"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74" fillId="3" borderId="0" xfId="2" applyFont="1" applyFill="1" applyAlignment="1">
      <alignment horizontal="center" vertical="center" shrinkToFit="1"/>
    </xf>
    <xf numFmtId="0" fontId="74" fillId="3" borderId="8" xfId="2" applyFont="1" applyFill="1" applyBorder="1" applyAlignment="1">
      <alignment horizontal="center" vertical="center" shrinkToFit="1"/>
    </xf>
    <xf numFmtId="0" fontId="74" fillId="3" borderId="4" xfId="2" applyFont="1" applyFill="1" applyBorder="1" applyAlignment="1">
      <alignment horizontal="center" vertical="center" shrinkToFit="1"/>
    </xf>
    <xf numFmtId="0" fontId="74" fillId="3" borderId="10" xfId="2" applyFont="1" applyFill="1" applyBorder="1" applyAlignment="1">
      <alignment horizontal="center" vertical="center" shrinkToFit="1"/>
    </xf>
    <xf numFmtId="0" fontId="45" fillId="3" borderId="80" xfId="2" applyFont="1" applyFill="1" applyBorder="1" applyAlignment="1">
      <alignment horizontal="left" vertical="center" shrinkToFit="1"/>
    </xf>
    <xf numFmtId="0" fontId="45" fillId="3" borderId="13" xfId="2" applyFont="1" applyFill="1" applyBorder="1" applyAlignment="1">
      <alignment horizontal="left" vertical="center" shrinkToFit="1"/>
    </xf>
    <xf numFmtId="0" fontId="45" fillId="3" borderId="59" xfId="2" applyFont="1" applyFill="1" applyBorder="1" applyAlignment="1">
      <alignment horizontal="left" vertical="center" shrinkToFit="1"/>
    </xf>
    <xf numFmtId="0" fontId="45" fillId="3" borderId="84" xfId="2" applyFont="1" applyFill="1" applyBorder="1" applyAlignment="1">
      <alignment horizontal="left" vertical="center" shrinkToFit="1"/>
    </xf>
    <xf numFmtId="0" fontId="45" fillId="3" borderId="4" xfId="2" applyFont="1" applyFill="1" applyBorder="1" applyAlignment="1">
      <alignment horizontal="left" vertical="center" shrinkToFit="1"/>
    </xf>
    <xf numFmtId="0" fontId="45"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2" fillId="3" borderId="0" xfId="2" applyFont="1" applyFill="1" applyAlignment="1">
      <alignment horizontal="center" vertical="center" shrinkToFit="1"/>
    </xf>
    <xf numFmtId="0" fontId="82" fillId="3" borderId="4" xfId="2"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6" fillId="0" borderId="70" xfId="2" applyFont="1" applyBorder="1" applyAlignment="1">
      <alignment horizontal="center" vertical="center"/>
    </xf>
    <xf numFmtId="0" fontId="46" fillId="0" borderId="71" xfId="2" applyFont="1" applyBorder="1" applyAlignment="1">
      <alignment horizontal="center" vertical="center"/>
    </xf>
    <xf numFmtId="0" fontId="46" fillId="0" borderId="72" xfId="2" applyFont="1" applyBorder="1" applyAlignment="1">
      <alignment horizontal="center" vertical="center"/>
    </xf>
    <xf numFmtId="0" fontId="47" fillId="0" borderId="73" xfId="3" applyFont="1" applyBorder="1" applyAlignment="1" applyProtection="1">
      <alignment horizontal="center" vertical="center" shrinkToFit="1"/>
      <protection locked="0"/>
    </xf>
    <xf numFmtId="0" fontId="47" fillId="0" borderId="0" xfId="3" applyFont="1" applyBorder="1" applyAlignment="1" applyProtection="1">
      <alignment horizontal="center" vertical="center" shrinkToFit="1"/>
      <protection locked="0"/>
    </xf>
    <xf numFmtId="0" fontId="47" fillId="0" borderId="69" xfId="3" applyFont="1" applyBorder="1" applyAlignment="1" applyProtection="1">
      <alignment horizontal="center" vertical="center" shrinkToFit="1"/>
      <protection locked="0"/>
    </xf>
    <xf numFmtId="0" fontId="48" fillId="0" borderId="74" xfId="2" applyFont="1" applyBorder="1" applyAlignment="1">
      <alignment horizontal="center" vertical="center"/>
    </xf>
    <xf numFmtId="0" fontId="48" fillId="0" borderId="32" xfId="2" applyFont="1" applyBorder="1" applyAlignment="1">
      <alignment horizontal="center" vertical="center"/>
    </xf>
    <xf numFmtId="0" fontId="48" fillId="0" borderId="75" xfId="2" applyFont="1" applyBorder="1" applyAlignment="1">
      <alignment horizontal="center" vertical="center"/>
    </xf>
    <xf numFmtId="0" fontId="34" fillId="0" borderId="0" xfId="2" applyFont="1" applyAlignment="1">
      <alignment horizontal="center" vertical="top" wrapText="1" shrinkToFit="1"/>
    </xf>
    <xf numFmtId="0" fontId="97" fillId="0" borderId="1" xfId="2" applyFont="1" applyBorder="1" applyAlignment="1">
      <alignment horizontal="center" vertical="center"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0" fontId="98" fillId="4" borderId="0" xfId="2" applyFont="1" applyFill="1" applyAlignment="1">
      <alignment horizontal="center" vertical="top" wrapText="1" shrinkToFit="1"/>
    </xf>
    <xf numFmtId="0" fontId="99" fillId="4" borderId="0" xfId="2" applyFont="1" applyFill="1" applyAlignment="1">
      <alignment horizontal="left" vertical="top" wrapText="1" shrinkToFit="1"/>
    </xf>
    <xf numFmtId="0" fontId="35" fillId="4" borderId="0" xfId="2" applyFont="1" applyFill="1" applyAlignment="1">
      <alignment horizontal="left" vertical="center" shrinkToFit="1"/>
    </xf>
    <xf numFmtId="0" fontId="96" fillId="4" borderId="0" xfId="2" applyFont="1" applyFill="1" applyAlignment="1">
      <alignment horizontal="left" vertical="center" wrapText="1" shrinkToFit="1"/>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3" borderId="132"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177" fontId="23" fillId="0" borderId="14" xfId="0" applyNumberFormat="1"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0" fontId="23" fillId="3" borderId="16" xfId="0" applyFont="1" applyFill="1" applyBorder="1" applyAlignment="1">
      <alignment horizontal="center" vertical="center"/>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3" borderId="38" xfId="0" applyFont="1" applyFill="1" applyBorder="1" applyAlignment="1">
      <alignment horizontal="center" vertical="center"/>
    </xf>
    <xf numFmtId="0" fontId="23" fillId="3" borderId="40" xfId="0" applyFont="1" applyFill="1" applyBorder="1" applyAlignment="1">
      <alignment horizontal="center" vertical="center"/>
    </xf>
    <xf numFmtId="0" fontId="85" fillId="0" borderId="14" xfId="0" applyFont="1" applyBorder="1" applyAlignment="1" applyProtection="1">
      <alignment horizontal="center" vertical="center"/>
      <protection locked="0"/>
    </xf>
    <xf numFmtId="0" fontId="85" fillId="0" borderId="16" xfId="0" applyFont="1" applyBorder="1" applyAlignment="1" applyProtection="1">
      <alignment horizontal="center" vertical="center"/>
      <protection locked="0"/>
    </xf>
    <xf numFmtId="0" fontId="85" fillId="0" borderId="50" xfId="0" applyFont="1" applyBorder="1" applyAlignment="1" applyProtection="1">
      <alignment horizontal="center" vertical="center"/>
      <protection locked="0"/>
    </xf>
    <xf numFmtId="0" fontId="84" fillId="0" borderId="39" xfId="0" applyFont="1" applyBorder="1" applyAlignment="1">
      <alignment horizontal="left" vertical="center"/>
    </xf>
    <xf numFmtId="0" fontId="84" fillId="0" borderId="0" xfId="0" applyFont="1" applyAlignment="1">
      <alignment horizontal="left"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85" fillId="0" borderId="36" xfId="0" applyFont="1" applyBorder="1" applyAlignment="1" applyProtection="1">
      <alignment horizontal="center" vertical="center"/>
      <protection locked="0"/>
    </xf>
    <xf numFmtId="0" fontId="85" fillId="0" borderId="2" xfId="0" applyFont="1" applyBorder="1" applyAlignment="1" applyProtection="1">
      <alignment horizontal="center" vertical="center"/>
      <protection locked="0"/>
    </xf>
    <xf numFmtId="0" fontId="85" fillId="0" borderId="52" xfId="0" applyFont="1" applyBorder="1" applyAlignment="1" applyProtection="1">
      <alignment horizontal="center" vertical="center"/>
      <protection locked="0"/>
    </xf>
    <xf numFmtId="0" fontId="23" fillId="3" borderId="34"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50" xfId="0" applyFont="1" applyFill="1" applyBorder="1" applyAlignment="1">
      <alignment horizontal="center" vertical="center"/>
    </xf>
    <xf numFmtId="0" fontId="23" fillId="3" borderId="131" xfId="0" applyFont="1" applyFill="1" applyBorder="1" applyAlignment="1">
      <alignment horizontal="center" vertical="center"/>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32" xfId="0" applyFont="1" applyFill="1" applyBorder="1" applyAlignment="1">
      <alignment horizontal="center" vertical="center" wrapText="1"/>
    </xf>
    <xf numFmtId="0" fontId="23" fillId="3" borderId="7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3" borderId="131" xfId="0" applyFont="1" applyFill="1" applyBorder="1" applyAlignment="1">
      <alignment horizontal="center" vertical="center" wrapText="1"/>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0" borderId="14"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87" fillId="0" borderId="0" xfId="1" applyFont="1" applyAlignment="1">
      <alignment horizontal="center" vertical="center"/>
    </xf>
    <xf numFmtId="0" fontId="83" fillId="7" borderId="16" xfId="0" applyFont="1" applyFill="1" applyBorder="1" applyAlignment="1">
      <alignment horizontal="center" vertical="top" wrapText="1"/>
    </xf>
    <xf numFmtId="0" fontId="83" fillId="3" borderId="16" xfId="0" applyFont="1" applyFill="1" applyBorder="1" applyAlignment="1">
      <alignment horizontal="left" vertical="top" wrapText="1"/>
    </xf>
    <xf numFmtId="0" fontId="83" fillId="3" borderId="50" xfId="0" applyFont="1" applyFill="1" applyBorder="1" applyAlignment="1">
      <alignment horizontal="left" vertical="top" wrapText="1"/>
    </xf>
    <xf numFmtId="0" fontId="83" fillId="3" borderId="16" xfId="0" applyFont="1" applyFill="1" applyBorder="1" applyAlignment="1">
      <alignment horizontal="center" vertical="top" wrapText="1"/>
    </xf>
    <xf numFmtId="0" fontId="86" fillId="0" borderId="0" xfId="1" applyFont="1" applyAlignment="1">
      <alignment horizontal="center" vertical="center" wrapText="1"/>
    </xf>
    <xf numFmtId="0" fontId="86" fillId="0" borderId="34" xfId="1" applyFont="1" applyBorder="1" applyAlignment="1">
      <alignment horizontal="center" vertical="center" wrapText="1"/>
    </xf>
    <xf numFmtId="180" fontId="23" fillId="0" borderId="1" xfId="0" applyNumberFormat="1" applyFont="1" applyBorder="1" applyAlignment="1" applyProtection="1">
      <alignment horizontal="center" vertical="center" shrinkToFit="1"/>
      <protection locked="0"/>
    </xf>
    <xf numFmtId="191" fontId="88" fillId="0" borderId="4" xfId="0" applyNumberFormat="1" applyFont="1" applyBorder="1" applyAlignment="1">
      <alignment horizontal="center" vertical="center"/>
    </xf>
    <xf numFmtId="0" fontId="90" fillId="0" borderId="166" xfId="0" applyFont="1" applyBorder="1" applyAlignment="1">
      <alignment horizontal="center" vertical="center" shrinkToFit="1"/>
    </xf>
    <xf numFmtId="0" fontId="90" fillId="0" borderId="183" xfId="0" applyFont="1" applyBorder="1" applyAlignment="1">
      <alignment horizontal="center" vertical="center" shrinkToFit="1"/>
    </xf>
    <xf numFmtId="0" fontId="90" fillId="0" borderId="167" xfId="0" applyFont="1" applyBorder="1" applyAlignment="1">
      <alignment horizontal="center" vertical="center" shrinkToFit="1"/>
    </xf>
    <xf numFmtId="0" fontId="85" fillId="0" borderId="46" xfId="0" applyFont="1" applyBorder="1" applyAlignment="1">
      <alignment horizontal="center" vertical="center"/>
    </xf>
    <xf numFmtId="0" fontId="85" fillId="0" borderId="42" xfId="0" applyFont="1" applyBorder="1" applyAlignment="1">
      <alignment horizontal="center" vertical="center"/>
    </xf>
    <xf numFmtId="0" fontId="85" fillId="0" borderId="43" xfId="0" applyFont="1" applyBorder="1" applyAlignment="1">
      <alignment horizontal="center" vertical="center"/>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85" fillId="0" borderId="186" xfId="0" applyFont="1" applyBorder="1" applyAlignment="1">
      <alignment horizontal="center" vertical="center"/>
    </xf>
    <xf numFmtId="0" fontId="85" fillId="0" borderId="187" xfId="0" applyFont="1" applyBorder="1" applyAlignment="1">
      <alignment horizontal="center" vertical="center"/>
    </xf>
    <xf numFmtId="0" fontId="85" fillId="0" borderId="188"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0" fontId="69" fillId="0" borderId="18" xfId="8" applyFont="1" applyBorder="1" applyAlignment="1">
      <alignment horizontal="center" vertical="top" wrapText="1"/>
    </xf>
    <xf numFmtId="0" fontId="69" fillId="0" borderId="149" xfId="8" applyFont="1" applyBorder="1" applyAlignment="1">
      <alignment horizontal="center" vertical="top" wrapText="1"/>
    </xf>
    <xf numFmtId="0" fontId="69" fillId="0" borderId="0" xfId="8" applyFont="1" applyAlignment="1">
      <alignment horizontal="center" vertical="top" wrapText="1"/>
    </xf>
    <xf numFmtId="0" fontId="69" fillId="0" borderId="150" xfId="8" applyFont="1" applyBorder="1" applyAlignment="1">
      <alignment horizontal="center" vertical="top" wrapText="1"/>
    </xf>
    <xf numFmtId="0" fontId="69" fillId="0" borderId="23" xfId="8" applyFont="1" applyBorder="1" applyAlignment="1">
      <alignment horizontal="center" vertical="top" wrapText="1"/>
    </xf>
    <xf numFmtId="0" fontId="69" fillId="0" borderId="151" xfId="8" applyFont="1" applyBorder="1" applyAlignment="1">
      <alignment horizontal="center" vertical="top" wrapText="1"/>
    </xf>
    <xf numFmtId="0" fontId="65" fillId="0" borderId="159" xfId="8" applyFont="1" applyBorder="1" applyAlignment="1">
      <alignment horizontal="center" vertical="center" wrapText="1"/>
    </xf>
    <xf numFmtId="0" fontId="65" fillId="0" borderId="160" xfId="8" applyFont="1" applyBorder="1" applyAlignment="1">
      <alignment horizontal="center" vertical="center" wrapText="1"/>
    </xf>
    <xf numFmtId="0" fontId="65" fillId="0" borderId="161" xfId="8" applyFont="1" applyBorder="1" applyAlignment="1">
      <alignment horizontal="center" vertical="center" wrapText="1"/>
    </xf>
    <xf numFmtId="0" fontId="61" fillId="0" borderId="142" xfId="8" applyFont="1" applyBorder="1" applyAlignment="1">
      <alignment horizontal="center" vertical="center"/>
    </xf>
    <xf numFmtId="0" fontId="60" fillId="0" borderId="0" xfId="8" applyAlignment="1">
      <alignment horizontal="left" vertical="center"/>
    </xf>
    <xf numFmtId="0" fontId="70" fillId="0" borderId="0" xfId="8" applyFont="1" applyAlignment="1">
      <alignment horizontal="left" vertical="center"/>
    </xf>
    <xf numFmtId="0" fontId="67" fillId="0" borderId="155" xfId="8" applyFont="1" applyBorder="1" applyAlignment="1">
      <alignment horizontal="center" vertical="center" wrapText="1"/>
    </xf>
    <xf numFmtId="0" fontId="67" fillId="0" borderId="152" xfId="8" applyFont="1" applyBorder="1" applyAlignment="1">
      <alignment horizontal="center" vertical="center"/>
    </xf>
    <xf numFmtId="0" fontId="67" fillId="0" borderId="155" xfId="8" applyFont="1" applyBorder="1" applyAlignment="1">
      <alignment horizontal="center" vertical="center"/>
    </xf>
    <xf numFmtId="0" fontId="67" fillId="0" borderId="156" xfId="8" applyFont="1" applyBorder="1" applyAlignment="1">
      <alignment horizontal="center" vertical="center"/>
    </xf>
    <xf numFmtId="0" fontId="67" fillId="0" borderId="157" xfId="8" applyFont="1" applyBorder="1" applyAlignment="1">
      <alignment horizontal="center" vertical="center"/>
    </xf>
    <xf numFmtId="178" fontId="61" fillId="0" borderId="139" xfId="8" applyNumberFormat="1" applyFont="1" applyBorder="1" applyAlignment="1">
      <alignment horizontal="center" vertical="center"/>
    </xf>
    <xf numFmtId="178" fontId="61" fillId="0" borderId="18" xfId="8" applyNumberFormat="1" applyFont="1" applyBorder="1" applyAlignment="1">
      <alignment horizontal="center" vertical="center"/>
    </xf>
    <xf numFmtId="178" fontId="61" fillId="0" borderId="140" xfId="8" applyNumberFormat="1" applyFont="1" applyBorder="1" applyAlignment="1">
      <alignment horizontal="center" vertical="center"/>
    </xf>
    <xf numFmtId="178" fontId="61" fillId="0" borderId="147" xfId="8" applyNumberFormat="1" applyFont="1" applyBorder="1" applyAlignment="1">
      <alignment horizontal="center" vertical="center"/>
    </xf>
    <xf numFmtId="178" fontId="61" fillId="0" borderId="0" xfId="8" applyNumberFormat="1" applyFont="1" applyAlignment="1">
      <alignment horizontal="center" vertical="center"/>
    </xf>
    <xf numFmtId="178" fontId="61" fillId="0" borderId="8" xfId="8" applyNumberFormat="1" applyFont="1" applyBorder="1" applyAlignment="1">
      <alignment horizontal="center" vertical="center"/>
    </xf>
    <xf numFmtId="178" fontId="61" fillId="0" borderId="158" xfId="8" applyNumberFormat="1" applyFont="1" applyBorder="1" applyAlignment="1">
      <alignment horizontal="center" vertical="center"/>
    </xf>
    <xf numFmtId="178" fontId="61" fillId="0" borderId="4" xfId="8" applyNumberFormat="1" applyFont="1" applyBorder="1" applyAlignment="1">
      <alignment horizontal="center" vertical="center"/>
    </xf>
    <xf numFmtId="178" fontId="61" fillId="0" borderId="10" xfId="8" applyNumberFormat="1" applyFont="1" applyBorder="1" applyAlignment="1">
      <alignment horizontal="center" vertical="center"/>
    </xf>
    <xf numFmtId="178" fontId="61" fillId="0" borderId="149" xfId="8" applyNumberFormat="1" applyFont="1" applyBorder="1" applyAlignment="1">
      <alignment horizontal="center" vertical="center"/>
    </xf>
    <xf numFmtId="178" fontId="61" fillId="0" borderId="150" xfId="8" applyNumberFormat="1" applyFont="1" applyBorder="1" applyAlignment="1">
      <alignment horizontal="center" vertical="center"/>
    </xf>
    <xf numFmtId="178" fontId="61" fillId="0" borderId="143" xfId="8" applyNumberFormat="1" applyFont="1" applyBorder="1" applyAlignment="1">
      <alignment horizontal="center" vertical="center"/>
    </xf>
    <xf numFmtId="178" fontId="61" fillId="0" borderId="23" xfId="8" applyNumberFormat="1" applyFont="1" applyBorder="1" applyAlignment="1">
      <alignment horizontal="center" vertical="center"/>
    </xf>
    <xf numFmtId="178" fontId="61" fillId="0" borderId="151" xfId="8" applyNumberFormat="1" applyFont="1" applyBorder="1" applyAlignment="1">
      <alignment horizontal="center" vertical="center"/>
    </xf>
    <xf numFmtId="178" fontId="61" fillId="0" borderId="144" xfId="8" applyNumberFormat="1" applyFont="1" applyBorder="1" applyAlignment="1">
      <alignment horizontal="center" vertical="center"/>
    </xf>
    <xf numFmtId="0" fontId="61" fillId="0" borderId="18" xfId="8" applyFont="1" applyBorder="1" applyAlignment="1">
      <alignment horizontal="center" vertical="center"/>
    </xf>
    <xf numFmtId="0" fontId="61" fillId="0" borderId="149" xfId="8" applyFont="1" applyBorder="1" applyAlignment="1">
      <alignment horizontal="center" vertical="center"/>
    </xf>
    <xf numFmtId="0" fontId="61" fillId="0" borderId="0" xfId="8" applyFont="1" applyAlignment="1">
      <alignment horizontal="center" vertical="center"/>
    </xf>
    <xf numFmtId="0" fontId="61" fillId="0" borderId="150" xfId="8" applyFont="1" applyBorder="1" applyAlignment="1">
      <alignment horizontal="center" vertical="center"/>
    </xf>
    <xf numFmtId="0" fontId="61" fillId="0" borderId="23" xfId="8" applyFont="1" applyBorder="1" applyAlignment="1">
      <alignment horizontal="center" vertical="center"/>
    </xf>
    <xf numFmtId="0" fontId="61" fillId="0" borderId="151" xfId="8" applyFont="1" applyBorder="1" applyAlignment="1">
      <alignment horizontal="center" vertical="center"/>
    </xf>
    <xf numFmtId="178" fontId="65" fillId="0" borderId="0" xfId="8" applyNumberFormat="1" applyFont="1" applyAlignment="1">
      <alignment horizontal="center" vertical="center"/>
    </xf>
    <xf numFmtId="178" fontId="72" fillId="0" borderId="143" xfId="8" applyNumberFormat="1" applyFont="1" applyBorder="1" applyAlignment="1">
      <alignment horizontal="center" vertical="center"/>
    </xf>
    <xf numFmtId="178" fontId="72" fillId="0" borderId="23" xfId="8" applyNumberFormat="1" applyFont="1" applyBorder="1" applyAlignment="1">
      <alignment horizontal="center" vertical="center"/>
    </xf>
    <xf numFmtId="178" fontId="72" fillId="0" borderId="151" xfId="8" applyNumberFormat="1" applyFont="1" applyBorder="1" applyAlignment="1">
      <alignment horizontal="center" vertical="center"/>
    </xf>
    <xf numFmtId="178" fontId="65" fillId="0" borderId="23" xfId="8" applyNumberFormat="1" applyFont="1" applyBorder="1" applyAlignment="1">
      <alignment horizontal="center" vertical="center"/>
    </xf>
    <xf numFmtId="0" fontId="65" fillId="0" borderId="148" xfId="8" applyFont="1" applyBorder="1" applyAlignment="1">
      <alignment horizontal="center" vertical="center" wrapText="1"/>
    </xf>
    <xf numFmtId="0" fontId="65" fillId="0" borderId="18" xfId="8" applyFont="1" applyBorder="1" applyAlignment="1">
      <alignment horizontal="center" vertical="center" wrapText="1"/>
    </xf>
    <xf numFmtId="0" fontId="65" fillId="0" borderId="149" xfId="8" applyFont="1" applyBorder="1" applyAlignment="1">
      <alignment horizontal="center" vertical="center" wrapText="1"/>
    </xf>
    <xf numFmtId="0" fontId="65" fillId="0" borderId="130" xfId="8" applyFont="1" applyBorder="1" applyAlignment="1">
      <alignment horizontal="center" vertical="center" wrapText="1"/>
    </xf>
    <xf numFmtId="0" fontId="65" fillId="0" borderId="0" xfId="8" applyFont="1" applyAlignment="1">
      <alignment horizontal="center" vertical="center" wrapText="1"/>
    </xf>
    <xf numFmtId="0" fontId="65" fillId="0" borderId="150" xfId="8" applyFont="1" applyBorder="1" applyAlignment="1">
      <alignment horizontal="center" vertical="center" wrapText="1"/>
    </xf>
    <xf numFmtId="0" fontId="65" fillId="0" borderId="154" xfId="8" applyFont="1" applyBorder="1" applyAlignment="1">
      <alignment horizontal="center" vertical="center" wrapText="1"/>
    </xf>
    <xf numFmtId="0" fontId="65" fillId="0" borderId="23" xfId="8" applyFont="1" applyBorder="1" applyAlignment="1">
      <alignment horizontal="center" vertical="center" wrapText="1"/>
    </xf>
    <xf numFmtId="0" fontId="65" fillId="0" borderId="151" xfId="8" applyFont="1" applyBorder="1" applyAlignment="1">
      <alignment horizontal="center" vertical="center" wrapText="1"/>
    </xf>
    <xf numFmtId="178" fontId="72" fillId="0" borderId="139" xfId="8" applyNumberFormat="1" applyFont="1" applyBorder="1" applyAlignment="1">
      <alignment horizontal="center" vertical="center"/>
    </xf>
    <xf numFmtId="178" fontId="72" fillId="0" borderId="18" xfId="8" applyNumberFormat="1" applyFont="1" applyBorder="1" applyAlignment="1">
      <alignment horizontal="center" vertical="center"/>
    </xf>
    <xf numFmtId="178" fontId="72" fillId="0" borderId="149" xfId="8" applyNumberFormat="1" applyFont="1" applyBorder="1" applyAlignment="1">
      <alignment horizontal="center" vertical="center"/>
    </xf>
    <xf numFmtId="178" fontId="65" fillId="0" borderId="18" xfId="8" applyNumberFormat="1" applyFont="1" applyBorder="1" applyAlignment="1">
      <alignment horizontal="center" vertical="center"/>
    </xf>
    <xf numFmtId="178" fontId="65" fillId="0" borderId="139" xfId="8" applyNumberFormat="1" applyFont="1" applyBorder="1" applyAlignment="1">
      <alignment horizontal="center" vertical="center"/>
    </xf>
    <xf numFmtId="178" fontId="65" fillId="0" borderId="149" xfId="8" applyNumberFormat="1" applyFont="1" applyBorder="1" applyAlignment="1">
      <alignment horizontal="center" vertical="center"/>
    </xf>
    <xf numFmtId="178" fontId="65" fillId="0" borderId="143" xfId="8" applyNumberFormat="1" applyFont="1" applyBorder="1" applyAlignment="1">
      <alignment horizontal="center" vertical="center"/>
    </xf>
    <xf numFmtId="178" fontId="65" fillId="0" borderId="151" xfId="8" applyNumberFormat="1" applyFont="1" applyBorder="1" applyAlignment="1">
      <alignment horizontal="center" vertical="center"/>
    </xf>
    <xf numFmtId="0" fontId="61" fillId="0" borderId="137" xfId="8" applyFont="1" applyBorder="1" applyAlignment="1">
      <alignment horizontal="center" vertical="center" wrapText="1"/>
    </xf>
    <xf numFmtId="0" fontId="61" fillId="0" borderId="138" xfId="8" applyFont="1" applyBorder="1" applyAlignment="1">
      <alignment horizontal="center" vertical="center"/>
    </xf>
    <xf numFmtId="0" fontId="61" fillId="0" borderId="145" xfId="8" applyFont="1" applyBorder="1" applyAlignment="1">
      <alignment horizontal="center" vertical="center"/>
    </xf>
    <xf numFmtId="0" fontId="61" fillId="0" borderId="146" xfId="8" applyFont="1" applyBorder="1" applyAlignment="1">
      <alignment horizontal="center" vertical="center"/>
    </xf>
    <xf numFmtId="0" fontId="61" fillId="0" borderId="141" xfId="8" applyFont="1" applyBorder="1" applyAlignment="1">
      <alignment horizontal="center"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18" xfId="8" applyFont="1" applyBorder="1" applyAlignment="1">
      <alignment horizontal="center" vertical="center" shrinkToFit="1"/>
    </xf>
    <xf numFmtId="0" fontId="61" fillId="0" borderId="140" xfId="8" applyFont="1" applyBorder="1" applyAlignment="1">
      <alignment horizontal="center" vertical="center" shrinkToFit="1"/>
    </xf>
    <xf numFmtId="0" fontId="61" fillId="0" borderId="0" xfId="8" applyFont="1" applyAlignment="1">
      <alignment horizontal="center" vertical="center" shrinkToFit="1"/>
    </xf>
    <xf numFmtId="0" fontId="61" fillId="0" borderId="8" xfId="8" applyFont="1" applyBorder="1" applyAlignment="1">
      <alignment horizontal="center" vertical="center" shrinkToFit="1"/>
    </xf>
    <xf numFmtId="0" fontId="66" fillId="0" borderId="148" xfId="8" applyFont="1" applyBorder="1" applyAlignment="1">
      <alignment horizontal="center" vertical="center" wrapText="1"/>
    </xf>
    <xf numFmtId="0" fontId="66" fillId="0" borderId="18" xfId="8" applyFont="1" applyBorder="1" applyAlignment="1">
      <alignment horizontal="center" vertical="center" wrapText="1"/>
    </xf>
    <xf numFmtId="0" fontId="66" fillId="0" borderId="130" xfId="8" applyFont="1" applyBorder="1" applyAlignment="1">
      <alignment horizontal="center" vertical="center" wrapText="1"/>
    </xf>
    <xf numFmtId="0" fontId="66" fillId="0" borderId="0" xfId="8" applyFont="1" applyAlignment="1">
      <alignment horizontal="center" vertical="center" wrapText="1"/>
    </xf>
    <xf numFmtId="0" fontId="66" fillId="0" borderId="154" xfId="8" applyFont="1" applyBorder="1" applyAlignment="1">
      <alignment horizontal="center" vertical="center" wrapText="1"/>
    </xf>
    <xf numFmtId="0" fontId="66" fillId="0" borderId="23" xfId="8" applyFont="1" applyBorder="1" applyAlignment="1">
      <alignment horizontal="center" vertical="center" wrapText="1"/>
    </xf>
    <xf numFmtId="0" fontId="65" fillId="0" borderId="139" xfId="8" applyFont="1" applyBorder="1" applyAlignment="1">
      <alignment horizontal="center" vertical="center" wrapText="1"/>
    </xf>
    <xf numFmtId="0" fontId="65" fillId="0" borderId="147" xfId="8" applyFont="1" applyBorder="1" applyAlignment="1">
      <alignment horizontal="center" vertical="center" wrapText="1"/>
    </xf>
    <xf numFmtId="0" fontId="65" fillId="0" borderId="143" xfId="8" applyFont="1" applyBorder="1" applyAlignment="1">
      <alignment horizontal="center" vertical="center" wrapText="1"/>
    </xf>
    <xf numFmtId="0" fontId="65" fillId="0" borderId="152" xfId="8" applyFont="1" applyBorder="1" applyAlignment="1">
      <alignment horizontal="center" vertical="center"/>
    </xf>
    <xf numFmtId="0" fontId="65" fillId="0" borderId="139" xfId="8" applyFont="1" applyBorder="1" applyAlignment="1">
      <alignment horizontal="center" vertical="center"/>
    </xf>
    <xf numFmtId="0" fontId="65" fillId="0" borderId="18" xfId="8" applyFont="1" applyBorder="1" applyAlignment="1">
      <alignment horizontal="center" vertical="center"/>
    </xf>
    <xf numFmtId="0" fontId="65" fillId="0" borderId="140" xfId="8" applyFont="1" applyBorder="1" applyAlignment="1">
      <alignment horizontal="center" vertical="center"/>
    </xf>
    <xf numFmtId="0" fontId="65" fillId="0" borderId="143" xfId="8" applyFont="1" applyBorder="1" applyAlignment="1">
      <alignment horizontal="center" vertical="center"/>
    </xf>
    <xf numFmtId="0" fontId="65" fillId="0" borderId="23" xfId="8" applyFont="1" applyBorder="1" applyAlignment="1">
      <alignment horizontal="center" vertical="center"/>
    </xf>
    <xf numFmtId="0" fontId="65" fillId="0" borderId="144" xfId="8" applyFont="1" applyBorder="1" applyAlignment="1">
      <alignment horizontal="center" vertical="center"/>
    </xf>
    <xf numFmtId="0" fontId="66" fillId="0" borderId="12" xfId="8" applyFont="1" applyBorder="1" applyAlignment="1">
      <alignment horizontal="center" vertical="center" wrapText="1"/>
    </xf>
    <xf numFmtId="0" fontId="66" fillId="0" borderId="13" xfId="8" applyFont="1" applyBorder="1" applyAlignment="1">
      <alignment horizontal="center" vertical="center" wrapText="1"/>
    </xf>
    <xf numFmtId="0" fontId="66" fillId="0" borderId="153" xfId="8" applyFont="1" applyBorder="1" applyAlignment="1">
      <alignment horizontal="center" vertical="center" wrapText="1"/>
    </xf>
    <xf numFmtId="0" fontId="66" fillId="0" borderId="150" xfId="8" applyFont="1" applyBorder="1" applyAlignment="1">
      <alignment horizontal="center" vertical="center" wrapText="1"/>
    </xf>
    <xf numFmtId="0" fontId="66" fillId="0" borderId="151" xfId="8" applyFont="1" applyBorder="1" applyAlignment="1">
      <alignment horizontal="center" vertical="center" wrapText="1"/>
    </xf>
    <xf numFmtId="0" fontId="66" fillId="0" borderId="139" xfId="8" applyFont="1" applyBorder="1" applyAlignment="1">
      <alignment horizontal="center" vertical="center"/>
    </xf>
    <xf numFmtId="0" fontId="66" fillId="0" borderId="18" xfId="8" applyFont="1" applyBorder="1" applyAlignment="1">
      <alignment horizontal="center" vertical="center"/>
    </xf>
    <xf numFmtId="0" fontId="66" fillId="0" borderId="149" xfId="8" applyFont="1" applyBorder="1" applyAlignment="1">
      <alignment horizontal="center" vertical="center"/>
    </xf>
    <xf numFmtId="0" fontId="66" fillId="0" borderId="143" xfId="8" applyFont="1" applyBorder="1" applyAlignment="1">
      <alignment horizontal="center" vertical="center"/>
    </xf>
    <xf numFmtId="0" fontId="66" fillId="0" borderId="23" xfId="8" applyFont="1" applyBorder="1" applyAlignment="1">
      <alignment horizontal="center" vertical="center"/>
    </xf>
    <xf numFmtId="0" fontId="66" fillId="0" borderId="151" xfId="8" applyFont="1" applyBorder="1" applyAlignment="1">
      <alignment horizontal="center" vertical="center"/>
    </xf>
    <xf numFmtId="0" fontId="66" fillId="0" borderId="140" xfId="8" applyFont="1" applyBorder="1" applyAlignment="1">
      <alignment horizontal="center" vertical="center"/>
    </xf>
    <xf numFmtId="0" fontId="66" fillId="0" borderId="144" xfId="8" applyFont="1" applyBorder="1" applyAlignment="1">
      <alignment horizontal="center" vertical="center"/>
    </xf>
    <xf numFmtId="0" fontId="66" fillId="0" borderId="139" xfId="8" applyFont="1" applyBorder="1" applyAlignment="1">
      <alignment horizontal="center" shrinkToFit="1"/>
    </xf>
    <xf numFmtId="0" fontId="66" fillId="0" borderId="18" xfId="8" applyFont="1" applyBorder="1" applyAlignment="1">
      <alignment horizontal="center" shrinkToFit="1"/>
    </xf>
    <xf numFmtId="0" fontId="66" fillId="0" borderId="149" xfId="8" applyFont="1" applyBorder="1" applyAlignment="1">
      <alignment horizontal="center" shrinkToFit="1"/>
    </xf>
    <xf numFmtId="0" fontId="66" fillId="0" borderId="139" xfId="8" applyFont="1" applyBorder="1" applyAlignment="1">
      <alignment horizontal="center" vertical="center" shrinkToFit="1"/>
    </xf>
    <xf numFmtId="0" fontId="66" fillId="0" borderId="18" xfId="8" applyFont="1" applyBorder="1" applyAlignment="1">
      <alignment horizontal="center" vertical="center" shrinkToFit="1"/>
    </xf>
    <xf numFmtId="0" fontId="66" fillId="0" borderId="149" xfId="8" applyFont="1" applyBorder="1" applyAlignment="1">
      <alignment horizontal="center" vertical="center" shrinkToFit="1"/>
    </xf>
    <xf numFmtId="0" fontId="61" fillId="0" borderId="147" xfId="8" applyFont="1" applyBorder="1" applyAlignment="1">
      <alignment horizontal="center" vertical="center" shrinkToFit="1"/>
    </xf>
    <xf numFmtId="0" fontId="61" fillId="0" borderId="150" xfId="8" applyFont="1" applyBorder="1" applyAlignment="1">
      <alignment horizontal="center" vertical="center" shrinkToFit="1"/>
    </xf>
    <xf numFmtId="0" fontId="61" fillId="0" borderId="143" xfId="8" applyFont="1" applyBorder="1" applyAlignment="1">
      <alignment horizontal="center" vertical="center" shrinkToFit="1"/>
    </xf>
    <xf numFmtId="0" fontId="61" fillId="0" borderId="23" xfId="8" applyFont="1" applyBorder="1" applyAlignment="1">
      <alignment horizontal="center" vertical="center" shrinkToFit="1"/>
    </xf>
    <xf numFmtId="0" fontId="61" fillId="0" borderId="151" xfId="8" applyFont="1" applyBorder="1" applyAlignment="1">
      <alignment horizontal="center" vertical="center" shrinkToFit="1"/>
    </xf>
    <xf numFmtId="0" fontId="61" fillId="0" borderId="0" xfId="8" applyFont="1" applyAlignment="1">
      <alignment horizontal="left" vertical="center" wrapText="1"/>
    </xf>
    <xf numFmtId="0" fontId="61" fillId="0" borderId="8" xfId="8" applyFont="1" applyBorder="1" applyAlignment="1">
      <alignment horizontal="left" vertical="center" wrapText="1"/>
    </xf>
    <xf numFmtId="0" fontId="61" fillId="0" borderId="23" xfId="8" applyFont="1" applyBorder="1" applyAlignment="1">
      <alignment horizontal="left" vertical="center" wrapText="1"/>
    </xf>
    <xf numFmtId="0" fontId="61" fillId="0" borderId="144" xfId="8" applyFont="1" applyBorder="1" applyAlignment="1">
      <alignment horizontal="left" vertical="center" wrapText="1"/>
    </xf>
    <xf numFmtId="0" fontId="61" fillId="0" borderId="148" xfId="8" applyFont="1" applyBorder="1" applyAlignment="1">
      <alignment horizontal="center" vertical="center"/>
    </xf>
    <xf numFmtId="0" fontId="61" fillId="0" borderId="130" xfId="8" applyFont="1" applyBorder="1" applyAlignment="1">
      <alignment horizontal="center" vertical="center"/>
    </xf>
    <xf numFmtId="0" fontId="61" fillId="0" borderId="139" xfId="8" applyFont="1" applyBorder="1" applyAlignment="1">
      <alignment horizontal="center" vertical="center" wrapText="1"/>
    </xf>
    <xf numFmtId="0" fontId="60" fillId="0" borderId="18" xfId="8" applyBorder="1">
      <alignment vertical="center"/>
    </xf>
    <xf numFmtId="0" fontId="60" fillId="0" borderId="147" xfId="8" applyBorder="1">
      <alignment vertical="center"/>
    </xf>
    <xf numFmtId="0" fontId="60" fillId="0" borderId="0" xfId="8">
      <alignment vertical="center"/>
    </xf>
    <xf numFmtId="0" fontId="61" fillId="0" borderId="18" xfId="8" applyFont="1" applyBorder="1" applyAlignment="1">
      <alignment horizontal="center" vertical="center" wrapText="1"/>
    </xf>
    <xf numFmtId="0" fontId="61" fillId="0" borderId="0" xfId="8" applyFont="1" applyAlignment="1">
      <alignment horizontal="center" vertical="center" wrapText="1"/>
    </xf>
    <xf numFmtId="0" fontId="61" fillId="0" borderId="23" xfId="8" applyFont="1" applyBorder="1" applyAlignment="1">
      <alignment horizontal="center" vertical="center" wrapText="1"/>
    </xf>
    <xf numFmtId="0" fontId="61" fillId="0" borderId="0" xfId="8" applyFont="1" applyAlignment="1">
      <alignment horizontal="left" vertical="center"/>
    </xf>
    <xf numFmtId="0" fontId="61" fillId="0" borderId="23" xfId="8" applyFont="1" applyBorder="1" applyAlignment="1">
      <alignment horizontal="left" vertical="center"/>
    </xf>
    <xf numFmtId="183" fontId="61" fillId="0" borderId="0" xfId="8" applyNumberFormat="1" applyFont="1" applyAlignment="1">
      <alignment horizontal="center" vertical="center"/>
    </xf>
    <xf numFmtId="183" fontId="61" fillId="0" borderId="23" xfId="8" applyNumberFormat="1" applyFont="1" applyBorder="1" applyAlignment="1">
      <alignment horizontal="center" vertical="center"/>
    </xf>
    <xf numFmtId="0" fontId="61" fillId="0" borderId="0" xfId="8" applyFont="1" applyAlignment="1">
      <alignment horizontal="right" vertical="center" wrapText="1"/>
    </xf>
    <xf numFmtId="0" fontId="61" fillId="0" borderId="23" xfId="8" applyFont="1" applyBorder="1" applyAlignment="1">
      <alignment horizontal="right" vertical="center" wrapText="1"/>
    </xf>
    <xf numFmtId="20" fontId="61" fillId="0" borderId="0" xfId="8" applyNumberFormat="1" applyFont="1" applyAlignment="1">
      <alignment horizontal="center" vertical="center" wrapText="1"/>
    </xf>
    <xf numFmtId="0" fontId="61" fillId="0" borderId="137" xfId="8" applyFont="1" applyBorder="1" applyAlignment="1">
      <alignment horizontal="center" vertical="center"/>
    </xf>
    <xf numFmtId="0" fontId="66" fillId="0" borderId="0" xfId="8" applyFont="1" applyAlignment="1">
      <alignment horizontal="center" vertical="center"/>
    </xf>
    <xf numFmtId="0" fontId="66" fillId="0" borderId="8" xfId="8" applyFont="1" applyBorder="1" applyAlignment="1">
      <alignment horizontal="center" vertical="center"/>
    </xf>
    <xf numFmtId="183" fontId="61" fillId="0" borderId="18" xfId="8" applyNumberFormat="1" applyFont="1" applyBorder="1" applyAlignment="1">
      <alignment horizontal="center" vertical="center"/>
    </xf>
    <xf numFmtId="0" fontId="61" fillId="0" borderId="18" xfId="8" applyFont="1" applyBorder="1" applyAlignment="1">
      <alignment horizontal="right" vertical="center" wrapText="1"/>
    </xf>
    <xf numFmtId="0" fontId="61" fillId="0" borderId="18" xfId="8" applyFont="1" applyBorder="1" applyAlignment="1">
      <alignment horizontal="left" vertical="center"/>
    </xf>
    <xf numFmtId="0" fontId="64" fillId="0" borderId="130" xfId="8" applyFont="1" applyBorder="1" applyAlignment="1">
      <alignment horizontal="center" vertical="center"/>
    </xf>
    <xf numFmtId="0" fontId="64" fillId="0" borderId="0" xfId="8" applyFont="1" applyAlignment="1">
      <alignment horizontal="center" vertical="center"/>
    </xf>
    <xf numFmtId="0" fontId="64" fillId="0" borderId="8" xfId="8" applyFont="1" applyBorder="1" applyAlignment="1">
      <alignment horizontal="center" vertical="center"/>
    </xf>
    <xf numFmtId="0" fontId="65" fillId="0" borderId="0" xfId="8" applyFont="1" applyAlignment="1">
      <alignment horizontal="center" vertical="center" shrinkToFit="1"/>
    </xf>
    <xf numFmtId="0" fontId="62" fillId="0" borderId="0" xfId="8" applyFont="1" applyAlignment="1">
      <alignment horizontal="center" vertical="center"/>
    </xf>
    <xf numFmtId="0" fontId="62" fillId="0" borderId="4" xfId="8" applyFont="1" applyBorder="1" applyAlignment="1">
      <alignment horizontal="center" vertical="center"/>
    </xf>
    <xf numFmtId="181" fontId="61" fillId="0" borderId="0" xfId="8" applyNumberFormat="1" applyFont="1" applyAlignment="1">
      <alignment horizontal="right" vertical="center"/>
    </xf>
    <xf numFmtId="0" fontId="61" fillId="0" borderId="0" xfId="8" applyFont="1" applyAlignment="1">
      <alignment horizontal="right" vertical="center"/>
    </xf>
    <xf numFmtId="182" fontId="61" fillId="0" borderId="0" xfId="8" applyNumberFormat="1" applyFont="1" applyAlignment="1">
      <alignment horizontal="left" vertical="center" shrinkToFit="1"/>
    </xf>
    <xf numFmtId="0" fontId="61" fillId="0" borderId="0" xfId="8" applyFont="1" applyAlignment="1">
      <alignment horizontal="left" vertical="top" shrinkToFit="1"/>
    </xf>
    <xf numFmtId="0" fontId="61" fillId="0" borderId="8" xfId="8" applyFont="1" applyBorder="1" applyAlignment="1">
      <alignment horizontal="left" vertical="top" shrinkToFit="1"/>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39" xfId="8" applyFont="1" applyBorder="1" applyAlignment="1">
      <alignment horizontal="left" vertical="center"/>
    </xf>
    <xf numFmtId="0" fontId="61" fillId="0" borderId="140" xfId="8" applyFont="1" applyBorder="1" applyAlignment="1">
      <alignment horizontal="left" vertical="center"/>
    </xf>
    <xf numFmtId="0" fontId="61" fillId="0" borderId="143" xfId="8" applyFont="1" applyBorder="1" applyAlignment="1">
      <alignment horizontal="left" vertical="center"/>
    </xf>
    <xf numFmtId="0" fontId="61" fillId="0" borderId="144" xfId="8" applyFont="1" applyBorder="1" applyAlignment="1">
      <alignment horizontal="left" vertical="center"/>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20" fontId="61" fillId="0" borderId="18" xfId="8" applyNumberFormat="1" applyFont="1" applyBorder="1" applyAlignment="1">
      <alignment horizontal="center" vertical="center" wrapText="1"/>
    </xf>
    <xf numFmtId="0" fontId="61" fillId="0" borderId="18" xfId="8" applyFont="1" applyBorder="1" applyAlignment="1">
      <alignment horizontal="left" vertical="center" wrapText="1"/>
    </xf>
    <xf numFmtId="0" fontId="61" fillId="0" borderId="140" xfId="8" applyFont="1" applyBorder="1" applyAlignment="1">
      <alignment horizontal="left" vertical="center" wrapText="1"/>
    </xf>
    <xf numFmtId="0" fontId="61" fillId="0" borderId="4" xfId="8" applyFont="1" applyBorder="1" applyAlignment="1">
      <alignment horizontal="left" vertical="center"/>
    </xf>
    <xf numFmtId="186" fontId="61" fillId="0" borderId="0" xfId="8" applyNumberFormat="1" applyFont="1" applyAlignment="1">
      <alignment horizontal="right" vertical="center" shrinkToFit="1"/>
    </xf>
    <xf numFmtId="0" fontId="61" fillId="0" borderId="139" xfId="8" applyFont="1" applyBorder="1" applyAlignment="1" applyProtection="1">
      <alignment horizontal="left" vertical="center" wrapText="1"/>
      <protection locked="0"/>
    </xf>
    <xf numFmtId="0" fontId="61" fillId="0" borderId="18" xfId="8" applyFont="1" applyBorder="1" applyAlignment="1" applyProtection="1">
      <alignment horizontal="left" vertical="center" wrapText="1"/>
      <protection locked="0"/>
    </xf>
    <xf numFmtId="0" fontId="61" fillId="0" borderId="140" xfId="8" applyFont="1" applyBorder="1" applyAlignment="1" applyProtection="1">
      <alignment horizontal="left" vertical="center" wrapText="1"/>
      <protection locked="0"/>
    </xf>
    <xf numFmtId="0" fontId="61" fillId="0" borderId="143" xfId="8" applyFont="1" applyBorder="1" applyAlignment="1" applyProtection="1">
      <alignment horizontal="left" vertical="center" wrapText="1"/>
      <protection locked="0"/>
    </xf>
    <xf numFmtId="0" fontId="61" fillId="0" borderId="23" xfId="8" applyFont="1" applyBorder="1" applyAlignment="1" applyProtection="1">
      <alignment horizontal="left" vertical="center" wrapText="1"/>
      <protection locked="0"/>
    </xf>
    <xf numFmtId="0" fontId="61" fillId="0" borderId="144" xfId="8" applyFont="1" applyBorder="1" applyAlignment="1" applyProtection="1">
      <alignment horizontal="left" vertical="center" wrapText="1"/>
      <protection locked="0"/>
    </xf>
    <xf numFmtId="0" fontId="61" fillId="0" borderId="18" xfId="8" applyFont="1" applyBorder="1" applyAlignment="1">
      <alignment horizontal="left" vertical="center" shrinkToFit="1"/>
    </xf>
    <xf numFmtId="0" fontId="61" fillId="0" borderId="140" xfId="8" applyFont="1" applyBorder="1" applyAlignment="1">
      <alignment horizontal="left" vertical="center" shrinkToFit="1"/>
    </xf>
    <xf numFmtId="182" fontId="61" fillId="0" borderId="0" xfId="8" applyNumberFormat="1" applyFont="1" applyAlignment="1" applyProtection="1">
      <alignment horizontal="left" vertical="center" shrinkToFit="1"/>
      <protection locked="0"/>
    </xf>
    <xf numFmtId="0" fontId="61" fillId="0" borderId="0" xfId="8" applyFont="1" applyAlignment="1" applyProtection="1">
      <alignment horizontal="right" vertical="top" shrinkToFit="1"/>
      <protection locked="0"/>
    </xf>
    <xf numFmtId="185" fontId="61" fillId="0" borderId="18" xfId="8" quotePrefix="1" applyNumberFormat="1" applyFont="1" applyBorder="1" applyAlignment="1">
      <alignment horizontal="right" vertical="center" shrinkToFit="1"/>
    </xf>
    <xf numFmtId="185" fontId="61" fillId="0" borderId="0" xfId="8" quotePrefix="1" applyNumberFormat="1" applyFont="1" applyAlignment="1">
      <alignment horizontal="right" vertical="center" shrinkToFit="1"/>
    </xf>
    <xf numFmtId="0" fontId="61" fillId="0" borderId="18" xfId="8" quotePrefix="1" applyFont="1" applyBorder="1" applyAlignment="1">
      <alignment horizontal="right" vertical="center" shrinkToFit="1"/>
    </xf>
    <xf numFmtId="0" fontId="61" fillId="0" borderId="0" xfId="8" quotePrefix="1" applyFont="1" applyAlignment="1">
      <alignment horizontal="right" vertical="center" shrinkToFit="1"/>
    </xf>
    <xf numFmtId="185" fontId="61" fillId="0" borderId="18" xfId="8" quotePrefix="1" applyNumberFormat="1" applyFont="1" applyBorder="1" applyAlignment="1">
      <alignment horizontal="center" vertical="center" shrinkToFit="1"/>
    </xf>
    <xf numFmtId="185" fontId="61" fillId="0" borderId="0" xfId="8" quotePrefix="1" applyNumberFormat="1" applyFont="1" applyAlignment="1">
      <alignment horizontal="center" vertical="center" shrinkToFit="1"/>
    </xf>
    <xf numFmtId="0" fontId="61" fillId="0" borderId="23" xfId="8" applyFont="1" applyBorder="1" applyAlignment="1">
      <alignment horizontal="left" vertical="center" shrinkToFit="1"/>
    </xf>
    <xf numFmtId="0" fontId="61" fillId="0" borderId="144" xfId="8" applyFont="1" applyBorder="1" applyAlignment="1">
      <alignment horizontal="left" vertical="center" shrinkToFit="1"/>
    </xf>
    <xf numFmtId="177" fontId="61" fillId="0" borderId="0" xfId="8" applyNumberFormat="1" applyFont="1" applyAlignment="1">
      <alignment horizontal="right" vertical="center" shrinkToFit="1"/>
    </xf>
    <xf numFmtId="177" fontId="61" fillId="0" borderId="23" xfId="8" applyNumberFormat="1" applyFont="1" applyBorder="1" applyAlignment="1">
      <alignment horizontal="right" vertical="center" shrinkToFit="1"/>
    </xf>
    <xf numFmtId="177" fontId="61" fillId="0" borderId="18" xfId="8" applyNumberFormat="1" applyFont="1" applyBorder="1" applyAlignment="1">
      <alignment horizontal="right" vertical="center" shrinkToFit="1"/>
    </xf>
    <xf numFmtId="0" fontId="61" fillId="0" borderId="23" xfId="8" quotePrefix="1" applyFont="1" applyBorder="1" applyAlignment="1">
      <alignment horizontal="right" vertical="center" shrinkToFit="1"/>
    </xf>
    <xf numFmtId="185" fontId="61" fillId="0" borderId="23" xfId="8" quotePrefix="1" applyNumberFormat="1" applyFont="1" applyBorder="1" applyAlignment="1">
      <alignment horizontal="center" vertical="center" shrinkToFit="1"/>
    </xf>
    <xf numFmtId="0" fontId="61" fillId="0" borderId="18" xfId="8" applyFont="1" applyBorder="1" applyAlignment="1" applyProtection="1">
      <alignment horizontal="center" vertical="center"/>
      <protection locked="0"/>
    </xf>
    <xf numFmtId="0" fontId="61" fillId="0" borderId="0" xfId="8" applyFont="1" applyAlignment="1" applyProtection="1">
      <alignment horizontal="center" vertical="center"/>
      <protection locked="0"/>
    </xf>
    <xf numFmtId="0" fontId="61" fillId="0" borderId="18" xfId="8" applyFont="1" applyBorder="1" applyAlignment="1" applyProtection="1">
      <alignment horizontal="center" vertical="center" shrinkToFit="1"/>
      <protection locked="0"/>
    </xf>
    <xf numFmtId="0" fontId="61" fillId="0" borderId="0" xfId="8" applyFont="1" applyAlignment="1" applyProtection="1">
      <alignment horizontal="center" vertical="center" shrinkToFit="1"/>
      <protection locked="0"/>
    </xf>
    <xf numFmtId="0" fontId="61" fillId="0" borderId="23" xfId="8" applyFont="1" applyBorder="1" applyAlignment="1" applyProtection="1">
      <alignment horizontal="center" vertical="center" shrinkToFit="1"/>
      <protection locked="0"/>
    </xf>
    <xf numFmtId="185" fontId="61" fillId="0" borderId="23" xfId="8" quotePrefix="1" applyNumberFormat="1" applyFont="1" applyBorder="1" applyAlignment="1">
      <alignment horizontal="right" vertical="center" shrinkToFit="1"/>
    </xf>
    <xf numFmtId="177" fontId="61" fillId="0" borderId="18" xfId="8" applyNumberFormat="1" applyFont="1" applyBorder="1" applyAlignment="1">
      <alignment horizontal="center" vertical="center" shrinkToFit="1"/>
    </xf>
    <xf numFmtId="177" fontId="61" fillId="0" borderId="0" xfId="8" applyNumberFormat="1" applyFont="1" applyAlignment="1">
      <alignment horizontal="center" vertical="center" shrinkToFit="1"/>
    </xf>
    <xf numFmtId="189" fontId="61" fillId="0" borderId="18" xfId="8" quotePrefix="1" applyNumberFormat="1" applyFont="1" applyBorder="1" applyAlignment="1">
      <alignment horizontal="center" vertical="center" shrinkToFit="1"/>
    </xf>
    <xf numFmtId="189" fontId="61" fillId="0" borderId="0" xfId="8" quotePrefix="1" applyNumberFormat="1" applyFont="1" applyAlignment="1">
      <alignment horizontal="center" vertical="center" shrinkToFit="1"/>
    </xf>
    <xf numFmtId="189" fontId="61" fillId="0" borderId="23" xfId="8" quotePrefix="1" applyNumberFormat="1" applyFont="1" applyBorder="1" applyAlignment="1">
      <alignment horizontal="center" vertical="center" shrinkToFit="1"/>
    </xf>
    <xf numFmtId="177" fontId="61" fillId="0" borderId="23" xfId="8" applyNumberFormat="1" applyFont="1" applyBorder="1" applyAlignment="1">
      <alignment horizontal="center" vertical="center" shrinkToFit="1"/>
    </xf>
    <xf numFmtId="0" fontId="67" fillId="0" borderId="18" xfId="8" applyFont="1" applyBorder="1" applyAlignment="1" applyProtection="1">
      <alignment horizontal="center" vertical="center"/>
      <protection locked="0"/>
    </xf>
    <xf numFmtId="0" fontId="67" fillId="0" borderId="140"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8" xfId="8" applyFont="1" applyBorder="1" applyAlignment="1" applyProtection="1">
      <alignment horizontal="center" vertical="center"/>
      <protection locked="0"/>
    </xf>
    <xf numFmtId="0" fontId="61" fillId="0" borderId="23" xfId="8" applyFont="1" applyBorder="1" applyAlignment="1" applyProtection="1">
      <alignment horizontal="center" vertical="center"/>
      <protection locked="0"/>
    </xf>
    <xf numFmtId="0" fontId="66" fillId="0" borderId="12" xfId="8" applyFont="1" applyBorder="1" applyAlignment="1" applyProtection="1">
      <alignment horizontal="center" vertical="center" wrapText="1"/>
      <protection locked="0"/>
    </xf>
    <xf numFmtId="0" fontId="66" fillId="0" borderId="13" xfId="8" applyFont="1" applyBorder="1" applyAlignment="1" applyProtection="1">
      <alignment horizontal="center" vertical="center" wrapText="1"/>
      <protection locked="0"/>
    </xf>
    <xf numFmtId="0" fontId="66" fillId="0" borderId="153" xfId="8" applyFont="1" applyBorder="1" applyAlignment="1" applyProtection="1">
      <alignment horizontal="center" vertical="center" wrapText="1"/>
      <protection locked="0"/>
    </xf>
    <xf numFmtId="0" fontId="66" fillId="0" borderId="130" xfId="8" applyFont="1" applyBorder="1" applyAlignment="1" applyProtection="1">
      <alignment horizontal="center" vertical="center" wrapText="1"/>
      <protection locked="0"/>
    </xf>
    <xf numFmtId="0" fontId="66" fillId="0" borderId="0" xfId="8" applyFont="1" applyAlignment="1" applyProtection="1">
      <alignment horizontal="center" vertical="center" wrapText="1"/>
      <protection locked="0"/>
    </xf>
    <xf numFmtId="0" fontId="66" fillId="0" borderId="150" xfId="8" applyFont="1" applyBorder="1" applyAlignment="1" applyProtection="1">
      <alignment horizontal="center" vertical="center" wrapText="1"/>
      <protection locked="0"/>
    </xf>
    <xf numFmtId="0" fontId="66" fillId="0" borderId="154" xfId="8" applyFont="1" applyBorder="1" applyAlignment="1" applyProtection="1">
      <alignment horizontal="center" vertical="center" wrapText="1"/>
      <protection locked="0"/>
    </xf>
    <xf numFmtId="0" fontId="66" fillId="0" borderId="23" xfId="8" applyFont="1" applyBorder="1" applyAlignment="1" applyProtection="1">
      <alignment horizontal="center" vertical="center" wrapText="1"/>
      <protection locked="0"/>
    </xf>
    <xf numFmtId="0" fontId="66" fillId="0" borderId="151" xfId="8" applyFont="1" applyBorder="1" applyAlignment="1" applyProtection="1">
      <alignment horizontal="center" vertical="center" wrapText="1"/>
      <protection locked="0"/>
    </xf>
    <xf numFmtId="178" fontId="65" fillId="0" borderId="0" xfId="8" applyNumberFormat="1" applyFont="1" applyAlignment="1" applyProtection="1">
      <alignment horizontal="center" vertical="center"/>
      <protection locked="0"/>
    </xf>
    <xf numFmtId="178" fontId="65" fillId="0" borderId="23" xfId="8" applyNumberFormat="1" applyFont="1" applyBorder="1" applyAlignment="1" applyProtection="1">
      <alignment horizontal="center" vertical="center"/>
      <protection locked="0"/>
    </xf>
    <xf numFmtId="178" fontId="65" fillId="0" borderId="18" xfId="8" applyNumberFormat="1" applyFont="1" applyBorder="1" applyAlignment="1" applyProtection="1">
      <alignment horizontal="center" vertical="center"/>
      <protection locked="0"/>
    </xf>
    <xf numFmtId="178" fontId="61" fillId="0" borderId="139" xfId="8" applyNumberFormat="1" applyFont="1" applyBorder="1" applyAlignment="1" applyProtection="1">
      <alignment horizontal="center" vertical="center"/>
      <protection locked="0"/>
    </xf>
    <xf numFmtId="178" fontId="61" fillId="0" borderId="18" xfId="8" applyNumberFormat="1" applyFont="1" applyBorder="1" applyAlignment="1" applyProtection="1">
      <alignment horizontal="center" vertical="center"/>
      <protection locked="0"/>
    </xf>
    <xf numFmtId="178" fontId="61" fillId="0" borderId="149" xfId="8" applyNumberFormat="1" applyFont="1" applyBorder="1" applyAlignment="1" applyProtection="1">
      <alignment horizontal="center" vertical="center"/>
      <protection locked="0"/>
    </xf>
    <xf numFmtId="178" fontId="61" fillId="0" borderId="147" xfId="8" applyNumberFormat="1" applyFont="1" applyBorder="1" applyAlignment="1" applyProtection="1">
      <alignment horizontal="center" vertical="center"/>
      <protection locked="0"/>
    </xf>
    <xf numFmtId="178" fontId="61" fillId="0" borderId="0" xfId="8" applyNumberFormat="1" applyFont="1" applyAlignment="1" applyProtection="1">
      <alignment horizontal="center" vertical="center"/>
      <protection locked="0"/>
    </xf>
    <xf numFmtId="178" fontId="61" fillId="0" borderId="150" xfId="8" applyNumberFormat="1" applyFont="1" applyBorder="1" applyAlignment="1" applyProtection="1">
      <alignment horizontal="center" vertical="center"/>
      <protection locked="0"/>
    </xf>
    <xf numFmtId="178" fontId="61" fillId="0" borderId="143" xfId="8" applyNumberFormat="1" applyFont="1" applyBorder="1" applyAlignment="1" applyProtection="1">
      <alignment horizontal="center" vertical="center"/>
      <protection locked="0"/>
    </xf>
    <xf numFmtId="178" fontId="61" fillId="0" borderId="23" xfId="8" applyNumberFormat="1" applyFont="1" applyBorder="1" applyAlignment="1" applyProtection="1">
      <alignment horizontal="center" vertical="center"/>
      <protection locked="0"/>
    </xf>
    <xf numFmtId="178" fontId="61" fillId="0" borderId="151" xfId="8" applyNumberFormat="1" applyFont="1" applyBorder="1" applyAlignment="1" applyProtection="1">
      <alignment horizontal="center" vertical="center"/>
      <protection locked="0"/>
    </xf>
    <xf numFmtId="0" fontId="68" fillId="0" borderId="139" xfId="8" applyFont="1" applyBorder="1" applyAlignment="1" applyProtection="1">
      <alignment horizontal="center" vertical="center"/>
      <protection locked="0"/>
    </xf>
    <xf numFmtId="0" fontId="68" fillId="0" borderId="18" xfId="8" applyFont="1" applyBorder="1" applyAlignment="1" applyProtection="1">
      <alignment horizontal="center" vertical="center"/>
      <protection locked="0"/>
    </xf>
    <xf numFmtId="0" fontId="68" fillId="0" borderId="140" xfId="8" applyFont="1" applyBorder="1" applyAlignment="1" applyProtection="1">
      <alignment horizontal="center" vertical="center"/>
      <protection locked="0"/>
    </xf>
    <xf numFmtId="0" fontId="68" fillId="0" borderId="147" xfId="8" applyFont="1" applyBorder="1" applyAlignment="1" applyProtection="1">
      <alignment horizontal="center" vertical="center"/>
      <protection locked="0"/>
    </xf>
    <xf numFmtId="0" fontId="68" fillId="0" borderId="0" xfId="8" applyFont="1" applyAlignment="1" applyProtection="1">
      <alignment horizontal="center" vertical="center"/>
      <protection locked="0"/>
    </xf>
    <xf numFmtId="0" fontId="68" fillId="0" borderId="8" xfId="8" applyFont="1" applyBorder="1" applyAlignment="1" applyProtection="1">
      <alignment horizontal="center" vertical="center"/>
      <protection locked="0"/>
    </xf>
    <xf numFmtId="0" fontId="68" fillId="0" borderId="158" xfId="8" applyFont="1" applyBorder="1" applyAlignment="1" applyProtection="1">
      <alignment horizontal="center" vertical="center"/>
      <protection locked="0"/>
    </xf>
    <xf numFmtId="0" fontId="68" fillId="0" borderId="4" xfId="8" applyFont="1" applyBorder="1" applyAlignment="1" applyProtection="1">
      <alignment horizontal="center" vertical="center"/>
      <protection locked="0"/>
    </xf>
    <xf numFmtId="0" fontId="68" fillId="0" borderId="10" xfId="8" applyFont="1" applyBorder="1" applyAlignment="1" applyProtection="1">
      <alignment horizontal="center" vertical="center"/>
      <protection locked="0"/>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79" fillId="0" borderId="164" xfId="8" applyNumberFormat="1" applyFont="1" applyBorder="1" applyAlignment="1">
      <alignment horizontal="left" vertical="center" shrinkToFit="1"/>
    </xf>
    <xf numFmtId="0" fontId="77" fillId="0" borderId="0" xfId="0" applyFont="1" applyAlignment="1">
      <alignment horizontal="center" vertical="center"/>
    </xf>
    <xf numFmtId="0" fontId="10" fillId="0" borderId="20" xfId="1" applyFont="1" applyBorder="1" applyAlignment="1">
      <alignment horizontal="left" vertical="center" shrinkToFit="1"/>
    </xf>
    <xf numFmtId="0" fontId="10" fillId="0" borderId="22" xfId="1" applyFont="1" applyBorder="1" applyAlignment="1">
      <alignment horizontal="left" vertical="center" shrinkToFit="1"/>
    </xf>
    <xf numFmtId="0" fontId="10" fillId="0" borderId="21" xfId="1" applyFont="1" applyBorder="1" applyAlignment="1">
      <alignment horizontal="left" vertical="center" shrinkToFit="1"/>
    </xf>
    <xf numFmtId="0" fontId="15" fillId="3" borderId="77" xfId="1" applyNumberFormat="1" applyFont="1" applyFill="1" applyBorder="1" applyAlignment="1">
      <alignment horizontal="center" vertical="center" shrinkToFit="1"/>
    </xf>
    <xf numFmtId="0" fontId="15" fillId="3" borderId="76" xfId="1" applyNumberFormat="1" applyFont="1" applyFill="1" applyBorder="1" applyAlignment="1">
      <alignment horizontal="center" vertical="center" shrinkToFit="1"/>
    </xf>
    <xf numFmtId="0" fontId="11" fillId="3" borderId="42" xfId="1" applyNumberFormat="1" applyFont="1" applyFill="1" applyBorder="1" applyAlignment="1">
      <alignment horizontal="center" vertical="center" shrinkToFit="1"/>
    </xf>
    <xf numFmtId="0" fontId="13" fillId="3" borderId="49" xfId="1" applyNumberFormat="1" applyFont="1" applyFill="1" applyBorder="1" applyAlignment="1">
      <alignment vertical="center" shrinkToFit="1"/>
    </xf>
    <xf numFmtId="0" fontId="11" fillId="3" borderId="16" xfId="1" applyNumberFormat="1" applyFont="1" applyFill="1" applyBorder="1" applyAlignment="1">
      <alignment horizontal="center" vertical="center" shrinkToFit="1"/>
    </xf>
    <xf numFmtId="0" fontId="13" fillId="3" borderId="50" xfId="1" applyNumberFormat="1" applyFont="1" applyFill="1" applyBorder="1" applyAlignment="1">
      <alignment vertical="center" shrinkToFit="1"/>
    </xf>
    <xf numFmtId="0" fontId="15" fillId="3" borderId="132" xfId="1" applyNumberFormat="1" applyFont="1" applyFill="1" applyBorder="1" applyAlignment="1">
      <alignment horizontal="center" vertical="center" shrinkToFit="1"/>
    </xf>
    <xf numFmtId="0" fontId="11" fillId="3" borderId="44" xfId="1" applyNumberFormat="1" applyFont="1" applyFill="1" applyBorder="1" applyAlignment="1">
      <alignment horizontal="center" vertical="center" shrinkToFit="1"/>
    </xf>
    <xf numFmtId="0" fontId="13" fillId="3" borderId="51" xfId="1" applyNumberFormat="1" applyFont="1" applyFill="1" applyBorder="1" applyAlignment="1">
      <alignment vertical="center" shrinkToFit="1"/>
    </xf>
    <xf numFmtId="0" fontId="15" fillId="3" borderId="78" xfId="1" applyNumberFormat="1" applyFont="1" applyFill="1" applyBorder="1" applyAlignment="1">
      <alignment horizontal="center" vertical="center" shrinkToFit="1"/>
    </xf>
    <xf numFmtId="0" fontId="101" fillId="0" borderId="0" xfId="0" applyNumberFormat="1" applyFont="1" applyAlignment="1">
      <alignment horizontal="center" vertical="center"/>
    </xf>
    <xf numFmtId="0" fontId="0" fillId="0" borderId="0" xfId="0" applyNumberFormat="1">
      <alignment vertical="center"/>
    </xf>
    <xf numFmtId="0" fontId="15" fillId="3" borderId="171" xfId="1" applyNumberFormat="1" applyFont="1" applyFill="1" applyBorder="1" applyAlignment="1">
      <alignment horizontal="center" vertical="center" shrinkToFit="1"/>
    </xf>
    <xf numFmtId="0" fontId="15" fillId="3" borderId="131" xfId="1" applyNumberFormat="1" applyFont="1" applyFill="1" applyBorder="1" applyAlignment="1">
      <alignment horizontal="center" vertical="center" shrinkToFit="1"/>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16">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lightUp">
          <bgColor theme="5" tint="0.59996337778862885"/>
        </patternFill>
      </fill>
      <border>
        <left/>
        <right/>
        <top/>
        <bottom/>
      </border>
    </dxf>
    <dxf>
      <fill>
        <patternFill>
          <bgColor theme="6" tint="0.59996337778862885"/>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59996337778862885"/>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theme="9" tint="0.79998168889431442"/>
        </patternFill>
      </fill>
    </dxf>
    <dxf>
      <fill>
        <patternFill>
          <bgColor theme="8" tint="0.59996337778862885"/>
        </patternFill>
      </fill>
    </dxf>
    <dxf>
      <fill>
        <patternFill>
          <bgColor rgb="FFFFCCFF"/>
        </patternFill>
      </fill>
    </dxf>
    <dxf>
      <fill>
        <patternFill>
          <bgColor theme="6" tint="0.59996337778862885"/>
        </patternFill>
      </fill>
    </dxf>
    <dxf>
      <fill>
        <patternFill>
          <bgColor theme="9" tint="0.79998168889431442"/>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142875</xdr:colOff>
          <xdr:row>2</xdr:row>
          <xdr:rowOff>28575</xdr:rowOff>
        </xdr:from>
        <xdr:to>
          <xdr:col>37</xdr:col>
          <xdr:colOff>180975</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79</xdr:col>
      <xdr:colOff>142876</xdr:colOff>
      <xdr:row>2</xdr:row>
      <xdr:rowOff>142875</xdr:rowOff>
    </xdr:from>
    <xdr:to>
      <xdr:col>86</xdr:col>
      <xdr:colOff>0</xdr:colOff>
      <xdr:row>6</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84</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nichiei-meal.net/" TargetMode="External"/><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C426"/>
  <sheetViews>
    <sheetView showGridLines="0" tabSelected="1" view="pageBreakPreview" zoomScale="70" zoomScaleNormal="70" zoomScaleSheetLayoutView="70" workbookViewId="0">
      <selection activeCell="N132" sqref="N132:Q132"/>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399" t="s">
        <v>73</v>
      </c>
      <c r="B1" s="399"/>
      <c r="C1" s="399"/>
      <c r="D1" s="399"/>
      <c r="E1" s="399"/>
      <c r="F1" s="399"/>
      <c r="G1" s="399"/>
      <c r="H1" s="399"/>
      <c r="I1" s="399"/>
      <c r="J1" s="399"/>
      <c r="K1" s="399"/>
      <c r="L1" s="399"/>
      <c r="M1" s="399"/>
      <c r="N1" s="399"/>
      <c r="O1" s="399"/>
      <c r="P1" s="8"/>
    </row>
    <row r="2" spans="1:27" s="6" customFormat="1" ht="24.75" customHeight="1">
      <c r="A2" s="400" t="s">
        <v>38</v>
      </c>
      <c r="B2" s="400"/>
      <c r="C2" s="400"/>
      <c r="D2" s="400" t="s">
        <v>37</v>
      </c>
      <c r="E2" s="400"/>
      <c r="F2" s="400"/>
      <c r="G2" s="400" t="s">
        <v>36</v>
      </c>
      <c r="H2" s="400"/>
      <c r="I2" s="400"/>
      <c r="J2" s="400" t="s">
        <v>35</v>
      </c>
      <c r="K2" s="400"/>
      <c r="L2" s="401"/>
      <c r="M2" s="9"/>
      <c r="N2" s="10"/>
      <c r="O2" s="10"/>
    </row>
    <row r="3" spans="1:27" ht="31.15" customHeight="1">
      <c r="A3" s="348" t="s">
        <v>34</v>
      </c>
      <c r="B3" s="348"/>
      <c r="C3" s="348"/>
      <c r="D3" s="348"/>
      <c r="E3" s="348"/>
      <c r="F3" s="348"/>
      <c r="G3" s="11"/>
      <c r="H3" s="403"/>
      <c r="I3" s="403"/>
      <c r="J3" s="403"/>
      <c r="K3" s="403"/>
      <c r="L3" s="180"/>
      <c r="M3" s="416" t="s">
        <v>284</v>
      </c>
      <c r="N3" s="416"/>
      <c r="O3" s="416"/>
      <c r="R3" s="115" t="s">
        <v>224</v>
      </c>
      <c r="S3" s="129"/>
      <c r="V3" s="345"/>
      <c r="W3" s="347"/>
      <c r="X3" s="347"/>
      <c r="Y3" s="347"/>
    </row>
    <row r="4" spans="1:27" ht="31.35" customHeight="1">
      <c r="A4" s="348"/>
      <c r="B4" s="348"/>
      <c r="C4" s="348"/>
      <c r="D4" s="348"/>
      <c r="E4" s="348"/>
      <c r="F4" s="348"/>
      <c r="G4" s="11"/>
      <c r="H4" s="403"/>
      <c r="I4" s="403"/>
      <c r="J4" s="403"/>
      <c r="K4" s="403"/>
      <c r="L4" s="181"/>
      <c r="M4" s="415" t="s">
        <v>285</v>
      </c>
      <c r="N4" s="415"/>
      <c r="O4" s="415"/>
      <c r="P4" s="402">
        <f ca="1">TODAY()</f>
        <v>46152</v>
      </c>
      <c r="Q4" s="402"/>
      <c r="R4" s="402"/>
      <c r="S4" s="58" t="s">
        <v>33</v>
      </c>
      <c r="V4" s="346"/>
      <c r="W4" s="347"/>
      <c r="X4" s="347"/>
      <c r="Y4" s="347"/>
    </row>
    <row r="5" spans="1:27" ht="14.25" thickBot="1"/>
    <row r="6" spans="1:27" ht="34.5" customHeight="1">
      <c r="A6" s="393" t="s">
        <v>225</v>
      </c>
      <c r="B6" s="394"/>
      <c r="C6" s="394"/>
      <c r="D6" s="394"/>
      <c r="E6" s="394"/>
      <c r="F6" s="394"/>
      <c r="G6" s="394"/>
      <c r="H6" s="395"/>
      <c r="I6" s="211" t="s">
        <v>277</v>
      </c>
      <c r="J6" s="211" t="s">
        <v>283</v>
      </c>
      <c r="K6" s="210" t="s">
        <v>292</v>
      </c>
      <c r="L6" s="410" t="s">
        <v>127</v>
      </c>
      <c r="M6" s="407"/>
      <c r="N6" s="404" t="s">
        <v>128</v>
      </c>
      <c r="O6" s="116" t="s">
        <v>50</v>
      </c>
      <c r="P6" s="112"/>
      <c r="Q6" s="118" t="s">
        <v>48</v>
      </c>
      <c r="R6" s="113"/>
      <c r="S6" s="120" t="s">
        <v>49</v>
      </c>
      <c r="T6" s="12"/>
      <c r="U6" s="12"/>
      <c r="V6" s="144"/>
      <c r="W6" s="7"/>
      <c r="X6" s="144"/>
      <c r="Y6" s="7"/>
      <c r="Z6" s="7"/>
    </row>
    <row r="7" spans="1:27" ht="34.5" customHeight="1" thickBot="1">
      <c r="A7" s="396"/>
      <c r="B7" s="397"/>
      <c r="C7" s="397"/>
      <c r="D7" s="397"/>
      <c r="E7" s="397"/>
      <c r="F7" s="397"/>
      <c r="G7" s="397"/>
      <c r="H7" s="398"/>
      <c r="I7" s="208"/>
      <c r="J7" s="209"/>
      <c r="K7" s="179"/>
      <c r="L7" s="411"/>
      <c r="M7" s="408"/>
      <c r="N7" s="405"/>
      <c r="O7" s="117" t="s">
        <v>51</v>
      </c>
      <c r="P7" s="176" t="str">
        <f>IF($M$9&gt;1.1,MONTH(DATE($M$6+2018,$P$6,$R$6+1)),"")</f>
        <v/>
      </c>
      <c r="Q7" s="119" t="s">
        <v>48</v>
      </c>
      <c r="R7" s="177" t="str">
        <f>IF($M$9&gt;1.1,DAY(DATE($M$6+2018,$P$6,$R$6+1)),"")</f>
        <v/>
      </c>
      <c r="S7" s="121" t="s">
        <v>49</v>
      </c>
      <c r="T7" s="12"/>
      <c r="U7" s="12"/>
      <c r="V7" s="7"/>
      <c r="W7" s="7"/>
      <c r="X7" s="7"/>
      <c r="Y7" s="7"/>
      <c r="Z7" s="7"/>
    </row>
    <row r="8" spans="1:27" ht="34.5" customHeight="1">
      <c r="A8" s="413" t="s">
        <v>129</v>
      </c>
      <c r="B8" s="414"/>
      <c r="C8" s="414"/>
      <c r="D8" s="424"/>
      <c r="E8" s="425"/>
      <c r="F8" s="425"/>
      <c r="G8" s="426"/>
      <c r="H8" s="122" t="s">
        <v>130</v>
      </c>
      <c r="I8" s="430"/>
      <c r="J8" s="431"/>
      <c r="K8" s="432"/>
      <c r="L8" s="412"/>
      <c r="M8" s="409"/>
      <c r="N8" s="406"/>
      <c r="O8" s="117" t="s">
        <v>52</v>
      </c>
      <c r="P8" s="176" t="str">
        <f>IF($M$9&gt;2.1,MONTH(DATE($M$6+2018,$P$6,$R$6+2)),"")</f>
        <v/>
      </c>
      <c r="Q8" s="119" t="s">
        <v>48</v>
      </c>
      <c r="R8" s="177" t="str">
        <f>IF($M$9&gt;2.1,DAY(DATE($M$6+2018,$P$6,$R$6+2)),"")</f>
        <v/>
      </c>
      <c r="S8" s="121" t="s">
        <v>49</v>
      </c>
      <c r="T8" s="12"/>
      <c r="U8" s="12"/>
      <c r="V8" s="7"/>
      <c r="W8" s="7"/>
      <c r="X8" s="7"/>
      <c r="Y8" s="7"/>
      <c r="Z8" s="7"/>
    </row>
    <row r="9" spans="1:27" ht="12" customHeight="1">
      <c r="A9" s="427" t="s">
        <v>228</v>
      </c>
      <c r="B9" s="428"/>
      <c r="C9" s="429"/>
      <c r="D9" s="433"/>
      <c r="E9" s="434"/>
      <c r="F9" s="434"/>
      <c r="G9" s="435"/>
      <c r="H9" s="446" t="s">
        <v>162</v>
      </c>
      <c r="I9" s="436"/>
      <c r="J9" s="437"/>
      <c r="K9" s="437"/>
      <c r="L9" s="440" t="s">
        <v>219</v>
      </c>
      <c r="M9" s="442"/>
      <c r="N9" s="444" t="s">
        <v>227</v>
      </c>
      <c r="O9" s="446" t="s">
        <v>53</v>
      </c>
      <c r="P9" s="448" t="str">
        <f>IF($M$9&gt;3.1,MONTH(DATE($M$6+2018,$P$6,$R$6+3)),"")</f>
        <v/>
      </c>
      <c r="Q9" s="450" t="s">
        <v>48</v>
      </c>
      <c r="R9" s="448" t="str">
        <f>IF($M$9&gt;3.1,DAY(DATE($M$6+2018,$P$6,$R$6+3)),"")</f>
        <v/>
      </c>
      <c r="S9" s="417" t="s">
        <v>49</v>
      </c>
      <c r="T9" s="13"/>
      <c r="U9" s="13"/>
      <c r="V9" s="72"/>
      <c r="W9" s="145"/>
      <c r="X9" s="146"/>
      <c r="Y9" s="7"/>
      <c r="Z9" s="7"/>
      <c r="AA9" s="7"/>
    </row>
    <row r="10" spans="1:27" ht="22.5" customHeight="1" thickBot="1">
      <c r="A10" s="418" t="s">
        <v>229</v>
      </c>
      <c r="B10" s="419"/>
      <c r="C10" s="420"/>
      <c r="D10" s="421"/>
      <c r="E10" s="422"/>
      <c r="F10" s="422"/>
      <c r="G10" s="423"/>
      <c r="H10" s="447"/>
      <c r="I10" s="438"/>
      <c r="J10" s="439"/>
      <c r="K10" s="439"/>
      <c r="L10" s="441"/>
      <c r="M10" s="443"/>
      <c r="N10" s="445"/>
      <c r="O10" s="447"/>
      <c r="P10" s="449" t="str">
        <f>IF($M$9&gt;1.1,MONTH(DATE($M$6,$P$6,$R$6)),"")</f>
        <v/>
      </c>
      <c r="Q10" s="373"/>
      <c r="R10" s="449" t="str">
        <f>IF($M$9&gt;1.1,DAY(DATE($M$6,$P$6,$R$6+1)),"")</f>
        <v/>
      </c>
      <c r="S10" s="374"/>
      <c r="T10" s="13"/>
      <c r="U10" s="13"/>
      <c r="V10" s="72"/>
      <c r="W10" s="145">
        <f>DATE(M6+2018,P6,R6)</f>
        <v>43069</v>
      </c>
      <c r="X10" s="146"/>
      <c r="Y10" s="7"/>
      <c r="Z10" s="7"/>
      <c r="AA10" s="7"/>
    </row>
    <row r="11" spans="1:27" s="96" customFormat="1" ht="34.5" customHeight="1">
      <c r="A11" s="455" t="s">
        <v>217</v>
      </c>
      <c r="B11" s="456"/>
      <c r="C11" s="457"/>
      <c r="D11" s="352"/>
      <c r="E11" s="353"/>
      <c r="F11" s="353"/>
      <c r="G11" s="354"/>
      <c r="H11" s="123" t="s">
        <v>226</v>
      </c>
      <c r="I11" s="355"/>
      <c r="J11" s="356"/>
      <c r="K11" s="356"/>
      <c r="L11" s="356"/>
      <c r="M11" s="356"/>
      <c r="N11" s="356"/>
      <c r="O11" s="356"/>
      <c r="P11" s="356"/>
      <c r="Q11" s="356"/>
      <c r="R11" s="356"/>
      <c r="S11" s="357"/>
      <c r="T11" s="95"/>
      <c r="V11" s="59"/>
      <c r="W11" s="59"/>
      <c r="X11" s="59"/>
      <c r="Y11" s="59"/>
    </row>
    <row r="12" spans="1:27" s="96" customFormat="1" ht="34.5" customHeight="1" thickBot="1">
      <c r="A12" s="418" t="s">
        <v>218</v>
      </c>
      <c r="B12" s="419"/>
      <c r="C12" s="420"/>
      <c r="D12" s="358"/>
      <c r="E12" s="359"/>
      <c r="F12" s="359"/>
      <c r="G12" s="359"/>
      <c r="H12" s="451" t="s">
        <v>276</v>
      </c>
      <c r="I12" s="452"/>
      <c r="J12" s="358"/>
      <c r="K12" s="453"/>
      <c r="L12" s="358"/>
      <c r="M12" s="453"/>
      <c r="N12" s="358"/>
      <c r="O12" s="453"/>
      <c r="P12" s="358"/>
      <c r="Q12" s="453"/>
      <c r="R12" s="358"/>
      <c r="S12" s="454"/>
      <c r="T12" s="95"/>
      <c r="V12" s="59"/>
      <c r="W12" s="59"/>
      <c r="X12" s="59"/>
      <c r="Y12" s="59"/>
    </row>
    <row r="13" spans="1:27" ht="14.25" thickBot="1">
      <c r="S13" s="114"/>
    </row>
    <row r="14" spans="1:27" ht="34.5" customHeight="1">
      <c r="A14" s="369" t="s">
        <v>32</v>
      </c>
      <c r="B14" s="370"/>
      <c r="C14" s="371"/>
      <c r="D14" s="362" t="s">
        <v>43</v>
      </c>
      <c r="E14" s="163" t="s">
        <v>45</v>
      </c>
      <c r="F14" s="163">
        <f>COUNTIFS($E$22:$E$421,"男",$Y$22:$Y$421,1)</f>
        <v>0</v>
      </c>
      <c r="G14" s="124" t="s">
        <v>47</v>
      </c>
      <c r="H14" s="364" t="s">
        <v>131</v>
      </c>
      <c r="I14" s="163" t="s">
        <v>45</v>
      </c>
      <c r="J14" s="163">
        <f>COUNTIFS($E$22:$E$421,"男",$Y$22:$Y$421,2)</f>
        <v>0</v>
      </c>
      <c r="K14" s="124" t="s">
        <v>47</v>
      </c>
      <c r="L14" s="350" t="s">
        <v>132</v>
      </c>
      <c r="M14" s="163" t="s">
        <v>45</v>
      </c>
      <c r="N14" s="163">
        <f>COUNTIFS($E$22:$E$421,"男",$Y$22:$Y$421,3)</f>
        <v>0</v>
      </c>
      <c r="O14" s="124" t="s">
        <v>47</v>
      </c>
      <c r="P14" s="350" t="s">
        <v>44</v>
      </c>
      <c r="Q14" s="163" t="s">
        <v>45</v>
      </c>
      <c r="R14" s="163">
        <f>COUNTIFS($E$22:$E$421,"男",$Y$22:$Y$421,4)</f>
        <v>0</v>
      </c>
      <c r="S14" s="124" t="s">
        <v>47</v>
      </c>
      <c r="T14" s="14"/>
      <c r="U14" s="15"/>
    </row>
    <row r="15" spans="1:27" ht="34.5" customHeight="1" thickBot="1">
      <c r="A15" s="372"/>
      <c r="B15" s="373"/>
      <c r="C15" s="374"/>
      <c r="D15" s="363"/>
      <c r="E15" s="163" t="s">
        <v>46</v>
      </c>
      <c r="F15" s="163">
        <f>COUNTIFS($E$22:$E$421,"女",$Y$22:$Y$421,1)</f>
        <v>0</v>
      </c>
      <c r="G15" s="124" t="s">
        <v>47</v>
      </c>
      <c r="H15" s="365"/>
      <c r="I15" s="163" t="s">
        <v>46</v>
      </c>
      <c r="J15" s="163">
        <f>COUNTIFS($E$22:$E$421,"女",$Y$22:$Y$421,2)</f>
        <v>0</v>
      </c>
      <c r="K15" s="124" t="s">
        <v>47</v>
      </c>
      <c r="L15" s="366"/>
      <c r="M15" s="163" t="s">
        <v>46</v>
      </c>
      <c r="N15" s="163">
        <f>COUNTIFS($E$22:$E$421,"女",$Y$22:$Y$421,3)</f>
        <v>0</v>
      </c>
      <c r="O15" s="124" t="s">
        <v>47</v>
      </c>
      <c r="P15" s="366"/>
      <c r="Q15" s="163" t="s">
        <v>46</v>
      </c>
      <c r="R15" s="163">
        <f>COUNTIFS($E$22:$E$421,"女",$Y$22:$Y$421,4)</f>
        <v>0</v>
      </c>
      <c r="S15" s="124" t="s">
        <v>47</v>
      </c>
      <c r="T15" s="14"/>
      <c r="U15" s="15"/>
    </row>
    <row r="16" spans="1:27" ht="34.5" customHeight="1">
      <c r="A16" s="467" t="s">
        <v>135</v>
      </c>
      <c r="B16" s="469">
        <f>SUM(F14:F17,J14:J17,N14:N17,R14:R15)</f>
        <v>0</v>
      </c>
      <c r="C16" s="375" t="s">
        <v>47</v>
      </c>
      <c r="D16" s="367" t="s">
        <v>134</v>
      </c>
      <c r="E16" s="163" t="s">
        <v>45</v>
      </c>
      <c r="F16" s="163">
        <f>COUNTIFS($E$22:$E$421,"男",$Y$22:$Y$421,5)</f>
        <v>0</v>
      </c>
      <c r="G16" s="124" t="s">
        <v>47</v>
      </c>
      <c r="H16" s="350" t="s">
        <v>282</v>
      </c>
      <c r="I16" s="163" t="s">
        <v>45</v>
      </c>
      <c r="J16" s="163">
        <f>COUNTIFS($E$22:$E$421,"男",$Y$22:$Y$421,6)</f>
        <v>0</v>
      </c>
      <c r="K16" s="124" t="s">
        <v>47</v>
      </c>
      <c r="L16" s="350" t="s">
        <v>42</v>
      </c>
      <c r="M16" s="163" t="s">
        <v>45</v>
      </c>
      <c r="N16" s="163">
        <f>COUNTIFS($E$22:$E$421,"男",$Y$22:$Y$421,7)</f>
        <v>0</v>
      </c>
      <c r="O16" s="124" t="s">
        <v>47</v>
      </c>
      <c r="P16" s="350" t="s">
        <v>287</v>
      </c>
      <c r="Q16" s="163" t="s">
        <v>136</v>
      </c>
      <c r="R16" s="163">
        <f>COUNTIF(E22:E421,"男")</f>
        <v>0</v>
      </c>
      <c r="S16" s="124" t="s">
        <v>47</v>
      </c>
      <c r="T16" s="14"/>
      <c r="U16" s="15"/>
      <c r="W16" s="5">
        <v>1</v>
      </c>
      <c r="X16" s="5" t="s">
        <v>286</v>
      </c>
    </row>
    <row r="17" spans="1:29" ht="34.5" customHeight="1" thickBot="1">
      <c r="A17" s="468"/>
      <c r="B17" s="373"/>
      <c r="C17" s="374"/>
      <c r="D17" s="368"/>
      <c r="E17" s="163" t="s">
        <v>46</v>
      </c>
      <c r="F17" s="163">
        <f>COUNTIFS($E$22:$E$421,"女",$Y$22:$Y$421,5)</f>
        <v>0</v>
      </c>
      <c r="G17" s="124" t="s">
        <v>47</v>
      </c>
      <c r="H17" s="366"/>
      <c r="I17" s="163" t="s">
        <v>46</v>
      </c>
      <c r="J17" s="163">
        <f>COUNTIFS($E$22:$E$421,"女",$Y$22:$Y$421,6)</f>
        <v>0</v>
      </c>
      <c r="K17" s="124" t="s">
        <v>47</v>
      </c>
      <c r="L17" s="366"/>
      <c r="M17" s="163" t="s">
        <v>46</v>
      </c>
      <c r="N17" s="163">
        <f>COUNTIFS($E$22:$E$421,"女",$Y$22:$Y$421,7)</f>
        <v>0</v>
      </c>
      <c r="O17" s="124" t="s">
        <v>47</v>
      </c>
      <c r="P17" s="366"/>
      <c r="Q17" s="163" t="s">
        <v>46</v>
      </c>
      <c r="R17" s="163">
        <f>COUNTIF(E22:E421,"女")</f>
        <v>0</v>
      </c>
      <c r="S17" s="124" t="s">
        <v>47</v>
      </c>
      <c r="T17" s="14"/>
      <c r="U17" s="15"/>
      <c r="W17" s="5">
        <v>2</v>
      </c>
      <c r="X17" s="5" t="s">
        <v>278</v>
      </c>
      <c r="AB17" s="5" t="s">
        <v>260</v>
      </c>
    </row>
    <row r="18" spans="1:29">
      <c r="W18" s="5">
        <v>3</v>
      </c>
      <c r="X18" s="5" t="s">
        <v>279</v>
      </c>
      <c r="AB18" s="5" t="s">
        <v>261</v>
      </c>
    </row>
    <row r="19" spans="1:29" ht="18" customHeight="1">
      <c r="A19" s="385" t="s">
        <v>31</v>
      </c>
      <c r="B19" s="349" t="s">
        <v>30</v>
      </c>
      <c r="C19" s="349"/>
      <c r="D19" s="349"/>
      <c r="E19" s="388" t="s">
        <v>29</v>
      </c>
      <c r="F19" s="376" t="s">
        <v>293</v>
      </c>
      <c r="G19" s="377"/>
      <c r="H19" s="377"/>
      <c r="I19" s="377"/>
      <c r="J19" s="377"/>
      <c r="K19" s="378"/>
      <c r="L19" s="477" t="s">
        <v>28</v>
      </c>
      <c r="M19" s="474" t="s">
        <v>273</v>
      </c>
      <c r="N19" s="458" t="s">
        <v>41</v>
      </c>
      <c r="O19" s="459"/>
      <c r="P19" s="459"/>
      <c r="Q19" s="460"/>
      <c r="R19" s="125" t="s">
        <v>39</v>
      </c>
      <c r="S19" s="126" t="s">
        <v>27</v>
      </c>
      <c r="T19" s="16"/>
      <c r="U19" s="17"/>
      <c r="W19" s="5">
        <v>4</v>
      </c>
      <c r="X19" s="5" t="s">
        <v>280</v>
      </c>
      <c r="AB19" s="5" t="s">
        <v>262</v>
      </c>
    </row>
    <row r="20" spans="1:29" ht="18" customHeight="1">
      <c r="A20" s="386"/>
      <c r="B20" s="350"/>
      <c r="C20" s="350"/>
      <c r="D20" s="350"/>
      <c r="E20" s="389"/>
      <c r="F20" s="379"/>
      <c r="G20" s="380"/>
      <c r="H20" s="380"/>
      <c r="I20" s="380"/>
      <c r="J20" s="380"/>
      <c r="K20" s="381"/>
      <c r="L20" s="475"/>
      <c r="M20" s="475"/>
      <c r="N20" s="461"/>
      <c r="O20" s="462"/>
      <c r="P20" s="462"/>
      <c r="Q20" s="463"/>
      <c r="R20" s="127" t="s">
        <v>40</v>
      </c>
      <c r="S20" s="360" t="s">
        <v>137</v>
      </c>
      <c r="T20" s="16"/>
      <c r="U20" s="17"/>
      <c r="W20" s="5">
        <v>5</v>
      </c>
      <c r="X20" s="5" t="s">
        <v>281</v>
      </c>
      <c r="AB20" s="5" t="s">
        <v>263</v>
      </c>
    </row>
    <row r="21" spans="1:29" ht="24" customHeight="1" thickBot="1">
      <c r="A21" s="387"/>
      <c r="B21" s="351"/>
      <c r="C21" s="351"/>
      <c r="D21" s="351"/>
      <c r="E21" s="390"/>
      <c r="F21" s="167" t="s">
        <v>26</v>
      </c>
      <c r="G21" s="164" t="s">
        <v>25</v>
      </c>
      <c r="H21" s="164" t="s">
        <v>24</v>
      </c>
      <c r="I21" s="164" t="s">
        <v>23</v>
      </c>
      <c r="J21" s="391" t="s">
        <v>259</v>
      </c>
      <c r="K21" s="392"/>
      <c r="L21" s="476"/>
      <c r="M21" s="476"/>
      <c r="N21" s="464"/>
      <c r="O21" s="465"/>
      <c r="P21" s="465"/>
      <c r="Q21" s="466"/>
      <c r="R21" s="128"/>
      <c r="S21" s="361"/>
      <c r="T21" s="17"/>
      <c r="U21" s="17"/>
      <c r="W21" s="5">
        <v>6</v>
      </c>
      <c r="X21" s="5" t="s">
        <v>282</v>
      </c>
      <c r="AB21" s="5" t="s">
        <v>264</v>
      </c>
    </row>
    <row r="22" spans="1:29" s="51" customFormat="1" ht="33.75" customHeight="1" thickTop="1">
      <c r="A22" s="44">
        <v>1</v>
      </c>
      <c r="B22" s="382"/>
      <c r="C22" s="383"/>
      <c r="D22" s="384"/>
      <c r="E22" s="45"/>
      <c r="F22" s="46"/>
      <c r="G22" s="46"/>
      <c r="H22" s="46"/>
      <c r="I22" s="46"/>
      <c r="J22" s="170"/>
      <c r="K22" s="168"/>
      <c r="L22" s="47"/>
      <c r="M22" s="182" t="b">
        <v>0</v>
      </c>
      <c r="N22" s="470"/>
      <c r="O22" s="471"/>
      <c r="P22" s="471"/>
      <c r="Q22" s="471"/>
      <c r="R22" s="182" t="b">
        <v>0</v>
      </c>
      <c r="S22" s="45"/>
      <c r="T22" s="48"/>
      <c r="U22" s="49"/>
      <c r="V22" s="50">
        <f t="shared" ref="V22:V85" si="0">MAX(F22:I22)</f>
        <v>0</v>
      </c>
      <c r="W22" s="5">
        <v>7</v>
      </c>
      <c r="Y22" s="51">
        <f>MAX(F22:I22)</f>
        <v>0</v>
      </c>
      <c r="Z22" s="51">
        <f>COUNTA(F22:I22)</f>
        <v>0</v>
      </c>
      <c r="AA22" s="51">
        <f>COUNTA($J22)</f>
        <v>0</v>
      </c>
      <c r="AB22" s="51" t="str">
        <f>IF(H22="","",IF($E22="男",1,IF($E22="女",2,"")))</f>
        <v/>
      </c>
      <c r="AC22" s="51" t="str">
        <f>IF(I22="","",IF($E22="男",1,IF($E22="女",2,"")))</f>
        <v/>
      </c>
    </row>
    <row r="23" spans="1:29" s="51" customFormat="1" ht="33.75" customHeight="1">
      <c r="A23" s="52">
        <v>2</v>
      </c>
      <c r="B23" s="342"/>
      <c r="C23" s="343"/>
      <c r="D23" s="344"/>
      <c r="E23" s="45"/>
      <c r="F23" s="53"/>
      <c r="G23" s="53"/>
      <c r="H23" s="53"/>
      <c r="I23" s="53"/>
      <c r="J23" s="169"/>
      <c r="K23" s="162"/>
      <c r="L23" s="54"/>
      <c r="M23" s="183" t="b">
        <v>0</v>
      </c>
      <c r="N23" s="472"/>
      <c r="O23" s="473"/>
      <c r="P23" s="473"/>
      <c r="Q23" s="473"/>
      <c r="R23" s="183" t="b">
        <v>0</v>
      </c>
      <c r="S23" s="53"/>
      <c r="T23" s="48"/>
      <c r="U23" s="49"/>
      <c r="V23" s="50">
        <f t="shared" si="0"/>
        <v>0</v>
      </c>
      <c r="W23" s="5">
        <v>8</v>
      </c>
      <c r="Y23" s="51">
        <f t="shared" ref="Y23:Y86" si="1">MAX(F23:I23)</f>
        <v>0</v>
      </c>
      <c r="Z23" s="51">
        <f t="shared" ref="Z23:Z86" si="2">COUNTA(F23:I23)</f>
        <v>0</v>
      </c>
      <c r="AA23" s="51">
        <f t="shared" ref="AA23:AA86" si="3">COUNTA($J23)</f>
        <v>0</v>
      </c>
      <c r="AB23" s="51" t="str">
        <f t="shared" ref="AB23:AC86" si="4">IF(H23="","",IF($E23="男",1,IF($E23="女",2,"")))</f>
        <v/>
      </c>
      <c r="AC23" s="51" t="str">
        <f t="shared" si="4"/>
        <v/>
      </c>
    </row>
    <row r="24" spans="1:29" s="51" customFormat="1" ht="33.75" customHeight="1">
      <c r="A24" s="52">
        <v>3</v>
      </c>
      <c r="B24" s="342"/>
      <c r="C24" s="343"/>
      <c r="D24" s="344"/>
      <c r="E24" s="45"/>
      <c r="F24" s="53"/>
      <c r="G24" s="53"/>
      <c r="H24" s="53"/>
      <c r="I24" s="53"/>
      <c r="J24" s="169"/>
      <c r="K24" s="162"/>
      <c r="L24" s="54"/>
      <c r="M24" s="183" t="b">
        <v>0</v>
      </c>
      <c r="N24" s="472"/>
      <c r="O24" s="473"/>
      <c r="P24" s="473"/>
      <c r="Q24" s="473"/>
      <c r="R24" s="183" t="b">
        <v>0</v>
      </c>
      <c r="S24" s="53"/>
      <c r="T24" s="48"/>
      <c r="U24" s="49"/>
      <c r="V24" s="50">
        <f t="shared" si="0"/>
        <v>0</v>
      </c>
      <c r="W24" s="5">
        <v>9</v>
      </c>
      <c r="Y24" s="51">
        <f t="shared" si="1"/>
        <v>0</v>
      </c>
      <c r="Z24" s="51">
        <f t="shared" si="2"/>
        <v>0</v>
      </c>
      <c r="AA24" s="51">
        <f t="shared" si="3"/>
        <v>0</v>
      </c>
      <c r="AB24" s="51" t="str">
        <f t="shared" si="4"/>
        <v/>
      </c>
      <c r="AC24" s="51" t="str">
        <f t="shared" si="4"/>
        <v/>
      </c>
    </row>
    <row r="25" spans="1:29" s="51" customFormat="1" ht="33.75" customHeight="1">
      <c r="A25" s="52">
        <v>4</v>
      </c>
      <c r="B25" s="342"/>
      <c r="C25" s="343"/>
      <c r="D25" s="344"/>
      <c r="E25" s="45"/>
      <c r="F25" s="53"/>
      <c r="G25" s="53"/>
      <c r="H25" s="53"/>
      <c r="I25" s="53"/>
      <c r="J25" s="169"/>
      <c r="K25" s="162"/>
      <c r="L25" s="54"/>
      <c r="M25" s="183" t="b">
        <v>0</v>
      </c>
      <c r="N25" s="472"/>
      <c r="O25" s="473"/>
      <c r="P25" s="473"/>
      <c r="Q25" s="473"/>
      <c r="R25" s="183" t="b">
        <v>0</v>
      </c>
      <c r="S25" s="53"/>
      <c r="T25" s="48"/>
      <c r="U25" s="49"/>
      <c r="V25" s="50">
        <f t="shared" si="0"/>
        <v>0</v>
      </c>
      <c r="W25" s="5">
        <v>10</v>
      </c>
      <c r="Y25" s="51">
        <f t="shared" si="1"/>
        <v>0</v>
      </c>
      <c r="Z25" s="51">
        <f t="shared" si="2"/>
        <v>0</v>
      </c>
      <c r="AA25" s="51">
        <f t="shared" si="3"/>
        <v>0</v>
      </c>
      <c r="AB25" s="51" t="str">
        <f t="shared" si="4"/>
        <v/>
      </c>
      <c r="AC25" s="51" t="str">
        <f t="shared" si="4"/>
        <v/>
      </c>
    </row>
    <row r="26" spans="1:29" s="51" customFormat="1" ht="33.75" customHeight="1">
      <c r="A26" s="52">
        <v>5</v>
      </c>
      <c r="B26" s="342"/>
      <c r="C26" s="343"/>
      <c r="D26" s="344"/>
      <c r="E26" s="45"/>
      <c r="F26" s="53"/>
      <c r="G26" s="53"/>
      <c r="H26" s="53"/>
      <c r="I26" s="53"/>
      <c r="J26" s="169"/>
      <c r="K26" s="162"/>
      <c r="L26" s="54"/>
      <c r="M26" s="183" t="b">
        <v>0</v>
      </c>
      <c r="N26" s="472"/>
      <c r="O26" s="473"/>
      <c r="P26" s="473"/>
      <c r="Q26" s="473"/>
      <c r="R26" s="183" t="b">
        <v>0</v>
      </c>
      <c r="S26" s="53"/>
      <c r="T26" s="48"/>
      <c r="U26" s="49"/>
      <c r="V26" s="50">
        <f t="shared" si="0"/>
        <v>0</v>
      </c>
      <c r="Y26" s="51">
        <f t="shared" si="1"/>
        <v>0</v>
      </c>
      <c r="Z26" s="51">
        <f t="shared" si="2"/>
        <v>0</v>
      </c>
      <c r="AA26" s="51">
        <f t="shared" si="3"/>
        <v>0</v>
      </c>
      <c r="AB26" s="51" t="str">
        <f t="shared" si="4"/>
        <v/>
      </c>
      <c r="AC26" s="51" t="str">
        <f t="shared" si="4"/>
        <v/>
      </c>
    </row>
    <row r="27" spans="1:29" s="51" customFormat="1" ht="33.75" customHeight="1">
      <c r="A27" s="52">
        <v>6</v>
      </c>
      <c r="B27" s="342"/>
      <c r="C27" s="343"/>
      <c r="D27" s="344"/>
      <c r="E27" s="45"/>
      <c r="F27" s="53"/>
      <c r="G27" s="53"/>
      <c r="H27" s="53"/>
      <c r="I27" s="53"/>
      <c r="J27" s="169"/>
      <c r="K27" s="162"/>
      <c r="L27" s="54"/>
      <c r="M27" s="183" t="b">
        <v>0</v>
      </c>
      <c r="N27" s="472"/>
      <c r="O27" s="473"/>
      <c r="P27" s="473"/>
      <c r="Q27" s="473"/>
      <c r="R27" s="183" t="b">
        <v>0</v>
      </c>
      <c r="S27" s="53"/>
      <c r="T27" s="48"/>
      <c r="U27" s="49"/>
      <c r="V27" s="50">
        <f t="shared" si="0"/>
        <v>0</v>
      </c>
      <c r="Y27" s="51">
        <f t="shared" si="1"/>
        <v>0</v>
      </c>
      <c r="Z27" s="51">
        <f t="shared" si="2"/>
        <v>0</v>
      </c>
      <c r="AA27" s="51">
        <f t="shared" si="3"/>
        <v>0</v>
      </c>
      <c r="AB27" s="51" t="str">
        <f t="shared" si="4"/>
        <v/>
      </c>
      <c r="AC27" s="51" t="str">
        <f t="shared" si="4"/>
        <v/>
      </c>
    </row>
    <row r="28" spans="1:29" s="51" customFormat="1" ht="33.75" customHeight="1">
      <c r="A28" s="52">
        <v>7</v>
      </c>
      <c r="B28" s="342"/>
      <c r="C28" s="343"/>
      <c r="D28" s="344"/>
      <c r="E28" s="45"/>
      <c r="F28" s="53"/>
      <c r="G28" s="53"/>
      <c r="H28" s="53"/>
      <c r="I28" s="53"/>
      <c r="J28" s="169"/>
      <c r="K28" s="162"/>
      <c r="L28" s="54"/>
      <c r="M28" s="183" t="b">
        <v>0</v>
      </c>
      <c r="N28" s="472"/>
      <c r="O28" s="473"/>
      <c r="P28" s="473"/>
      <c r="Q28" s="473"/>
      <c r="R28" s="183" t="b">
        <v>0</v>
      </c>
      <c r="S28" s="53"/>
      <c r="T28" s="48"/>
      <c r="U28" s="49"/>
      <c r="V28" s="50">
        <f t="shared" si="0"/>
        <v>0</v>
      </c>
      <c r="Y28" s="51">
        <f t="shared" si="1"/>
        <v>0</v>
      </c>
      <c r="Z28" s="51">
        <f t="shared" si="2"/>
        <v>0</v>
      </c>
      <c r="AA28" s="51">
        <f t="shared" si="3"/>
        <v>0</v>
      </c>
      <c r="AB28" s="51" t="str">
        <f t="shared" si="4"/>
        <v/>
      </c>
      <c r="AC28" s="51" t="str">
        <f t="shared" si="4"/>
        <v/>
      </c>
    </row>
    <row r="29" spans="1:29" s="51" customFormat="1" ht="33.75" customHeight="1">
      <c r="A29" s="52">
        <v>8</v>
      </c>
      <c r="B29" s="342"/>
      <c r="C29" s="343"/>
      <c r="D29" s="344"/>
      <c r="E29" s="45"/>
      <c r="F29" s="53"/>
      <c r="G29" s="53"/>
      <c r="H29" s="53"/>
      <c r="I29" s="53"/>
      <c r="J29" s="169"/>
      <c r="K29" s="162"/>
      <c r="L29" s="54"/>
      <c r="M29" s="183" t="b">
        <v>0</v>
      </c>
      <c r="N29" s="472"/>
      <c r="O29" s="473"/>
      <c r="P29" s="473"/>
      <c r="Q29" s="473"/>
      <c r="R29" s="183" t="b">
        <v>0</v>
      </c>
      <c r="S29" s="53"/>
      <c r="T29" s="48"/>
      <c r="U29" s="49"/>
      <c r="V29" s="50">
        <f t="shared" si="0"/>
        <v>0</v>
      </c>
      <c r="Y29" s="51">
        <f t="shared" si="1"/>
        <v>0</v>
      </c>
      <c r="Z29" s="51">
        <f t="shared" si="2"/>
        <v>0</v>
      </c>
      <c r="AA29" s="51">
        <f t="shared" si="3"/>
        <v>0</v>
      </c>
      <c r="AB29" s="51" t="str">
        <f t="shared" si="4"/>
        <v/>
      </c>
      <c r="AC29" s="51" t="str">
        <f t="shared" si="4"/>
        <v/>
      </c>
    </row>
    <row r="30" spans="1:29" s="51" customFormat="1" ht="33.75" customHeight="1">
      <c r="A30" s="52">
        <v>9</v>
      </c>
      <c r="B30" s="342"/>
      <c r="C30" s="343"/>
      <c r="D30" s="344"/>
      <c r="E30" s="45"/>
      <c r="F30" s="53"/>
      <c r="G30" s="53"/>
      <c r="H30" s="53"/>
      <c r="I30" s="53"/>
      <c r="J30" s="169"/>
      <c r="K30" s="162"/>
      <c r="L30" s="54"/>
      <c r="M30" s="183" t="b">
        <v>0</v>
      </c>
      <c r="N30" s="472"/>
      <c r="O30" s="473"/>
      <c r="P30" s="473"/>
      <c r="Q30" s="473"/>
      <c r="R30" s="183" t="b">
        <v>0</v>
      </c>
      <c r="S30" s="53"/>
      <c r="T30" s="48" t="b">
        <v>1</v>
      </c>
      <c r="U30" s="49"/>
      <c r="V30" s="50">
        <f t="shared" si="0"/>
        <v>0</v>
      </c>
      <c r="Y30" s="51">
        <f t="shared" si="1"/>
        <v>0</v>
      </c>
      <c r="Z30" s="51">
        <f t="shared" si="2"/>
        <v>0</v>
      </c>
      <c r="AA30" s="51">
        <f t="shared" si="3"/>
        <v>0</v>
      </c>
      <c r="AB30" s="51" t="str">
        <f t="shared" si="4"/>
        <v/>
      </c>
      <c r="AC30" s="51" t="str">
        <f t="shared" si="4"/>
        <v/>
      </c>
    </row>
    <row r="31" spans="1:29" s="51" customFormat="1" ht="33.75" customHeight="1">
      <c r="A31" s="52">
        <v>10</v>
      </c>
      <c r="B31" s="342"/>
      <c r="C31" s="343"/>
      <c r="D31" s="344"/>
      <c r="E31" s="45"/>
      <c r="F31" s="53"/>
      <c r="G31" s="53"/>
      <c r="H31" s="53"/>
      <c r="I31" s="53"/>
      <c r="J31" s="169"/>
      <c r="K31" s="162"/>
      <c r="L31" s="54"/>
      <c r="M31" s="183" t="b">
        <v>0</v>
      </c>
      <c r="N31" s="472"/>
      <c r="O31" s="473"/>
      <c r="P31" s="473"/>
      <c r="Q31" s="473"/>
      <c r="R31" s="183" t="b">
        <v>0</v>
      </c>
      <c r="S31" s="53"/>
      <c r="T31" s="48"/>
      <c r="U31" s="49"/>
      <c r="V31" s="50">
        <f t="shared" si="0"/>
        <v>0</v>
      </c>
      <c r="Y31" s="51">
        <f t="shared" si="1"/>
        <v>0</v>
      </c>
      <c r="Z31" s="51">
        <f t="shared" si="2"/>
        <v>0</v>
      </c>
      <c r="AA31" s="51">
        <f t="shared" si="3"/>
        <v>0</v>
      </c>
      <c r="AB31" s="51" t="str">
        <f t="shared" si="4"/>
        <v/>
      </c>
      <c r="AC31" s="51" t="str">
        <f t="shared" si="4"/>
        <v/>
      </c>
    </row>
    <row r="32" spans="1:29" s="51" customFormat="1" ht="33.75" customHeight="1">
      <c r="A32" s="52">
        <v>11</v>
      </c>
      <c r="B32" s="342"/>
      <c r="C32" s="343"/>
      <c r="D32" s="344"/>
      <c r="E32" s="45"/>
      <c r="F32" s="53"/>
      <c r="G32" s="53"/>
      <c r="H32" s="53"/>
      <c r="I32" s="53"/>
      <c r="J32" s="169"/>
      <c r="K32" s="162"/>
      <c r="L32" s="54"/>
      <c r="M32" s="183" t="b">
        <v>0</v>
      </c>
      <c r="N32" s="472"/>
      <c r="O32" s="473"/>
      <c r="P32" s="473"/>
      <c r="Q32" s="473"/>
      <c r="R32" s="183" t="b">
        <v>0</v>
      </c>
      <c r="S32" s="53"/>
      <c r="T32" s="55" t="b">
        <v>1</v>
      </c>
      <c r="U32" s="56"/>
      <c r="V32" s="50">
        <f t="shared" si="0"/>
        <v>0</v>
      </c>
      <c r="Y32" s="51">
        <f t="shared" si="1"/>
        <v>0</v>
      </c>
      <c r="Z32" s="51">
        <f t="shared" si="2"/>
        <v>0</v>
      </c>
      <c r="AA32" s="51">
        <f t="shared" si="3"/>
        <v>0</v>
      </c>
      <c r="AB32" s="51" t="str">
        <f t="shared" si="4"/>
        <v/>
      </c>
      <c r="AC32" s="51" t="str">
        <f t="shared" si="4"/>
        <v/>
      </c>
    </row>
    <row r="33" spans="1:29" s="51" customFormat="1" ht="33.75" customHeight="1">
      <c r="A33" s="52">
        <v>12</v>
      </c>
      <c r="B33" s="342"/>
      <c r="C33" s="343"/>
      <c r="D33" s="344"/>
      <c r="E33" s="45"/>
      <c r="F33" s="53"/>
      <c r="G33" s="53"/>
      <c r="H33" s="53"/>
      <c r="I33" s="53"/>
      <c r="J33" s="169"/>
      <c r="K33" s="162"/>
      <c r="L33" s="54"/>
      <c r="M33" s="183" t="b">
        <v>0</v>
      </c>
      <c r="N33" s="472"/>
      <c r="O33" s="473"/>
      <c r="P33" s="473"/>
      <c r="Q33" s="473"/>
      <c r="R33" s="183" t="b">
        <v>0</v>
      </c>
      <c r="S33" s="53"/>
      <c r="T33" s="55"/>
      <c r="U33" s="56"/>
      <c r="V33" s="50">
        <f t="shared" si="0"/>
        <v>0</v>
      </c>
      <c r="Y33" s="51">
        <f t="shared" si="1"/>
        <v>0</v>
      </c>
      <c r="Z33" s="51">
        <f t="shared" si="2"/>
        <v>0</v>
      </c>
      <c r="AA33" s="51">
        <f t="shared" si="3"/>
        <v>0</v>
      </c>
      <c r="AB33" s="51" t="str">
        <f t="shared" si="4"/>
        <v/>
      </c>
      <c r="AC33" s="51" t="str">
        <f t="shared" si="4"/>
        <v/>
      </c>
    </row>
    <row r="34" spans="1:29" s="51" customFormat="1" ht="33.75" customHeight="1">
      <c r="A34" s="52">
        <v>13</v>
      </c>
      <c r="B34" s="342"/>
      <c r="C34" s="343"/>
      <c r="D34" s="344"/>
      <c r="E34" s="45"/>
      <c r="F34" s="53"/>
      <c r="G34" s="53"/>
      <c r="H34" s="53"/>
      <c r="I34" s="53"/>
      <c r="J34" s="169"/>
      <c r="K34" s="162"/>
      <c r="L34" s="54"/>
      <c r="M34" s="183" t="b">
        <v>0</v>
      </c>
      <c r="N34" s="472"/>
      <c r="O34" s="473"/>
      <c r="P34" s="473"/>
      <c r="Q34" s="473"/>
      <c r="R34" s="183" t="b">
        <v>0</v>
      </c>
      <c r="S34" s="53"/>
      <c r="T34" s="55"/>
      <c r="U34" s="56"/>
      <c r="V34" s="50">
        <f t="shared" si="0"/>
        <v>0</v>
      </c>
      <c r="Y34" s="51">
        <f t="shared" si="1"/>
        <v>0</v>
      </c>
      <c r="Z34" s="51">
        <f t="shared" si="2"/>
        <v>0</v>
      </c>
      <c r="AA34" s="51">
        <f t="shared" si="3"/>
        <v>0</v>
      </c>
      <c r="AB34" s="51" t="str">
        <f t="shared" si="4"/>
        <v/>
      </c>
      <c r="AC34" s="51" t="str">
        <f t="shared" si="4"/>
        <v/>
      </c>
    </row>
    <row r="35" spans="1:29" s="51" customFormat="1" ht="33.75" customHeight="1">
      <c r="A35" s="52">
        <v>14</v>
      </c>
      <c r="B35" s="342"/>
      <c r="C35" s="343"/>
      <c r="D35" s="344"/>
      <c r="E35" s="45"/>
      <c r="F35" s="53"/>
      <c r="G35" s="53"/>
      <c r="H35" s="53"/>
      <c r="I35" s="53"/>
      <c r="J35" s="169"/>
      <c r="K35" s="162"/>
      <c r="L35" s="54"/>
      <c r="M35" s="183" t="b">
        <v>0</v>
      </c>
      <c r="N35" s="472"/>
      <c r="O35" s="473"/>
      <c r="P35" s="473"/>
      <c r="Q35" s="473"/>
      <c r="R35" s="183" t="b">
        <v>0</v>
      </c>
      <c r="S35" s="53"/>
      <c r="T35" s="55" t="b">
        <v>1</v>
      </c>
      <c r="U35" s="56"/>
      <c r="V35" s="50">
        <f t="shared" si="0"/>
        <v>0</v>
      </c>
      <c r="Y35" s="51">
        <f t="shared" si="1"/>
        <v>0</v>
      </c>
      <c r="Z35" s="51">
        <f t="shared" si="2"/>
        <v>0</v>
      </c>
      <c r="AA35" s="51">
        <f t="shared" si="3"/>
        <v>0</v>
      </c>
      <c r="AB35" s="51" t="str">
        <f t="shared" si="4"/>
        <v/>
      </c>
      <c r="AC35" s="51" t="str">
        <f t="shared" si="4"/>
        <v/>
      </c>
    </row>
    <row r="36" spans="1:29" s="51" customFormat="1" ht="33.75" customHeight="1">
      <c r="A36" s="52">
        <v>15</v>
      </c>
      <c r="B36" s="342"/>
      <c r="C36" s="343"/>
      <c r="D36" s="344"/>
      <c r="E36" s="45"/>
      <c r="F36" s="53"/>
      <c r="G36" s="53"/>
      <c r="H36" s="53"/>
      <c r="I36" s="53"/>
      <c r="J36" s="169"/>
      <c r="K36" s="162"/>
      <c r="L36" s="166"/>
      <c r="M36" s="183" t="b">
        <v>0</v>
      </c>
      <c r="N36" s="478"/>
      <c r="O36" s="479"/>
      <c r="P36" s="479"/>
      <c r="Q36" s="480"/>
      <c r="R36" s="183" t="b">
        <v>0</v>
      </c>
      <c r="S36" s="53"/>
      <c r="T36" s="55"/>
      <c r="U36" s="56"/>
      <c r="V36" s="50">
        <f t="shared" si="0"/>
        <v>0</v>
      </c>
      <c r="Y36" s="51">
        <f t="shared" si="1"/>
        <v>0</v>
      </c>
      <c r="Z36" s="51">
        <f t="shared" si="2"/>
        <v>0</v>
      </c>
      <c r="AA36" s="51">
        <f t="shared" si="3"/>
        <v>0</v>
      </c>
      <c r="AB36" s="51" t="str">
        <f t="shared" si="4"/>
        <v/>
      </c>
      <c r="AC36" s="51" t="str">
        <f t="shared" si="4"/>
        <v/>
      </c>
    </row>
    <row r="37" spans="1:29" s="51" customFormat="1" ht="33.75" customHeight="1">
      <c r="A37" s="52">
        <v>16</v>
      </c>
      <c r="B37" s="342"/>
      <c r="C37" s="343"/>
      <c r="D37" s="344"/>
      <c r="E37" s="45"/>
      <c r="F37" s="53"/>
      <c r="G37" s="53"/>
      <c r="H37" s="53"/>
      <c r="I37" s="53"/>
      <c r="J37" s="169"/>
      <c r="K37" s="162"/>
      <c r="L37" s="166"/>
      <c r="M37" s="183" t="b">
        <v>0</v>
      </c>
      <c r="N37" s="472"/>
      <c r="O37" s="473"/>
      <c r="P37" s="473"/>
      <c r="Q37" s="473"/>
      <c r="R37" s="183" t="b">
        <v>0</v>
      </c>
      <c r="S37" s="53"/>
      <c r="T37" s="55"/>
      <c r="U37" s="56"/>
      <c r="V37" s="50">
        <f t="shared" si="0"/>
        <v>0</v>
      </c>
      <c r="Y37" s="51">
        <f t="shared" si="1"/>
        <v>0</v>
      </c>
      <c r="Z37" s="51">
        <f t="shared" si="2"/>
        <v>0</v>
      </c>
      <c r="AA37" s="51">
        <f t="shared" si="3"/>
        <v>0</v>
      </c>
      <c r="AB37" s="51" t="str">
        <f t="shared" si="4"/>
        <v/>
      </c>
      <c r="AC37" s="51" t="str">
        <f t="shared" si="4"/>
        <v/>
      </c>
    </row>
    <row r="38" spans="1:29" s="51" customFormat="1" ht="33.75" customHeight="1">
      <c r="A38" s="52">
        <v>17</v>
      </c>
      <c r="B38" s="342"/>
      <c r="C38" s="343"/>
      <c r="D38" s="344"/>
      <c r="E38" s="45"/>
      <c r="F38" s="53"/>
      <c r="G38" s="53"/>
      <c r="H38" s="53"/>
      <c r="I38" s="53"/>
      <c r="J38" s="169"/>
      <c r="K38" s="162"/>
      <c r="L38" s="166"/>
      <c r="M38" s="183" t="b">
        <v>0</v>
      </c>
      <c r="N38" s="472"/>
      <c r="O38" s="473"/>
      <c r="P38" s="473"/>
      <c r="Q38" s="473"/>
      <c r="R38" s="183" t="b">
        <v>0</v>
      </c>
      <c r="S38" s="53"/>
      <c r="T38" s="55"/>
      <c r="U38" s="56"/>
      <c r="V38" s="50">
        <f t="shared" si="0"/>
        <v>0</v>
      </c>
      <c r="Y38" s="51">
        <f t="shared" si="1"/>
        <v>0</v>
      </c>
      <c r="Z38" s="51">
        <f t="shared" si="2"/>
        <v>0</v>
      </c>
      <c r="AA38" s="51">
        <f t="shared" si="3"/>
        <v>0</v>
      </c>
      <c r="AB38" s="51" t="str">
        <f t="shared" si="4"/>
        <v/>
      </c>
      <c r="AC38" s="51" t="str">
        <f t="shared" si="4"/>
        <v/>
      </c>
    </row>
    <row r="39" spans="1:29" s="51" customFormat="1" ht="33.75" customHeight="1">
      <c r="A39" s="52">
        <v>18</v>
      </c>
      <c r="B39" s="342"/>
      <c r="C39" s="343"/>
      <c r="D39" s="344"/>
      <c r="E39" s="45"/>
      <c r="F39" s="53"/>
      <c r="G39" s="53"/>
      <c r="H39" s="53"/>
      <c r="I39" s="53"/>
      <c r="J39" s="169"/>
      <c r="K39" s="162"/>
      <c r="L39" s="166"/>
      <c r="M39" s="183" t="b">
        <v>0</v>
      </c>
      <c r="N39" s="472"/>
      <c r="O39" s="473"/>
      <c r="P39" s="473"/>
      <c r="Q39" s="473"/>
      <c r="R39" s="183" t="b">
        <v>0</v>
      </c>
      <c r="S39" s="53"/>
      <c r="T39" s="55"/>
      <c r="U39" s="56"/>
      <c r="V39" s="50">
        <f t="shared" si="0"/>
        <v>0</v>
      </c>
      <c r="Y39" s="51">
        <f t="shared" si="1"/>
        <v>0</v>
      </c>
      <c r="Z39" s="51">
        <f t="shared" si="2"/>
        <v>0</v>
      </c>
      <c r="AA39" s="51">
        <f t="shared" si="3"/>
        <v>0</v>
      </c>
      <c r="AB39" s="51" t="str">
        <f t="shared" si="4"/>
        <v/>
      </c>
      <c r="AC39" s="51" t="str">
        <f t="shared" si="4"/>
        <v/>
      </c>
    </row>
    <row r="40" spans="1:29" s="51" customFormat="1" ht="33.75" customHeight="1">
      <c r="A40" s="52">
        <v>19</v>
      </c>
      <c r="B40" s="342"/>
      <c r="C40" s="343"/>
      <c r="D40" s="344"/>
      <c r="E40" s="45"/>
      <c r="F40" s="53"/>
      <c r="G40" s="53"/>
      <c r="H40" s="53"/>
      <c r="I40" s="53"/>
      <c r="J40" s="169"/>
      <c r="K40" s="162"/>
      <c r="L40" s="166"/>
      <c r="M40" s="183" t="b">
        <v>0</v>
      </c>
      <c r="N40" s="472"/>
      <c r="O40" s="473"/>
      <c r="P40" s="473"/>
      <c r="Q40" s="473"/>
      <c r="R40" s="183" t="b">
        <v>0</v>
      </c>
      <c r="S40" s="53"/>
      <c r="T40" s="55"/>
      <c r="U40" s="56"/>
      <c r="V40" s="50">
        <f t="shared" si="0"/>
        <v>0</v>
      </c>
      <c r="Y40" s="51">
        <f t="shared" si="1"/>
        <v>0</v>
      </c>
      <c r="Z40" s="51">
        <f t="shared" si="2"/>
        <v>0</v>
      </c>
      <c r="AA40" s="51">
        <f t="shared" si="3"/>
        <v>0</v>
      </c>
      <c r="AB40" s="51" t="str">
        <f t="shared" si="4"/>
        <v/>
      </c>
      <c r="AC40" s="51" t="str">
        <f t="shared" si="4"/>
        <v/>
      </c>
    </row>
    <row r="41" spans="1:29" s="51" customFormat="1" ht="33.75" customHeight="1">
      <c r="A41" s="52">
        <v>20</v>
      </c>
      <c r="B41" s="342"/>
      <c r="C41" s="343"/>
      <c r="D41" s="344"/>
      <c r="E41" s="45"/>
      <c r="F41" s="53"/>
      <c r="G41" s="53"/>
      <c r="H41" s="53"/>
      <c r="I41" s="53"/>
      <c r="J41" s="169"/>
      <c r="K41" s="162"/>
      <c r="L41" s="166"/>
      <c r="M41" s="183" t="b">
        <v>0</v>
      </c>
      <c r="N41" s="472"/>
      <c r="O41" s="473"/>
      <c r="P41" s="473"/>
      <c r="Q41" s="473"/>
      <c r="R41" s="183" t="b">
        <v>0</v>
      </c>
      <c r="S41" s="53"/>
      <c r="T41" s="55"/>
      <c r="U41" s="56"/>
      <c r="V41" s="50">
        <f t="shared" si="0"/>
        <v>0</v>
      </c>
      <c r="Y41" s="51">
        <f t="shared" si="1"/>
        <v>0</v>
      </c>
      <c r="Z41" s="51">
        <f t="shared" si="2"/>
        <v>0</v>
      </c>
      <c r="AA41" s="51">
        <f t="shared" si="3"/>
        <v>0</v>
      </c>
      <c r="AB41" s="51" t="str">
        <f t="shared" si="4"/>
        <v/>
      </c>
      <c r="AC41" s="51" t="str">
        <f t="shared" si="4"/>
        <v/>
      </c>
    </row>
    <row r="42" spans="1:29" s="51" customFormat="1" ht="33.75" customHeight="1">
      <c r="A42" s="52">
        <v>21</v>
      </c>
      <c r="B42" s="342"/>
      <c r="C42" s="343"/>
      <c r="D42" s="344"/>
      <c r="E42" s="45"/>
      <c r="F42" s="53"/>
      <c r="G42" s="53"/>
      <c r="H42" s="53"/>
      <c r="I42" s="53"/>
      <c r="J42" s="169"/>
      <c r="K42" s="162"/>
      <c r="L42" s="166"/>
      <c r="M42" s="183" t="b">
        <v>0</v>
      </c>
      <c r="N42" s="472"/>
      <c r="O42" s="473"/>
      <c r="P42" s="473"/>
      <c r="Q42" s="473"/>
      <c r="R42" s="183" t="b">
        <v>0</v>
      </c>
      <c r="S42" s="53"/>
      <c r="T42" s="55"/>
      <c r="U42" s="56"/>
      <c r="V42" s="50">
        <f t="shared" si="0"/>
        <v>0</v>
      </c>
      <c r="Y42" s="51">
        <f t="shared" si="1"/>
        <v>0</v>
      </c>
      <c r="Z42" s="51">
        <f t="shared" si="2"/>
        <v>0</v>
      </c>
      <c r="AA42" s="51">
        <f t="shared" si="3"/>
        <v>0</v>
      </c>
      <c r="AB42" s="51" t="str">
        <f t="shared" si="4"/>
        <v/>
      </c>
      <c r="AC42" s="51" t="str">
        <f t="shared" si="4"/>
        <v/>
      </c>
    </row>
    <row r="43" spans="1:29" s="51" customFormat="1" ht="33.75" customHeight="1">
      <c r="A43" s="52">
        <v>22</v>
      </c>
      <c r="B43" s="342"/>
      <c r="C43" s="343"/>
      <c r="D43" s="344"/>
      <c r="E43" s="45"/>
      <c r="F43" s="53"/>
      <c r="G43" s="53"/>
      <c r="H43" s="53"/>
      <c r="I43" s="53"/>
      <c r="J43" s="169"/>
      <c r="K43" s="162"/>
      <c r="L43" s="166"/>
      <c r="M43" s="183" t="b">
        <v>0</v>
      </c>
      <c r="N43" s="472"/>
      <c r="O43" s="473"/>
      <c r="P43" s="473"/>
      <c r="Q43" s="473"/>
      <c r="R43" s="183" t="b">
        <v>0</v>
      </c>
      <c r="S43" s="53"/>
      <c r="T43" s="55"/>
      <c r="U43" s="56"/>
      <c r="V43" s="50">
        <f t="shared" si="0"/>
        <v>0</v>
      </c>
      <c r="Y43" s="51">
        <f t="shared" si="1"/>
        <v>0</v>
      </c>
      <c r="Z43" s="51">
        <f t="shared" si="2"/>
        <v>0</v>
      </c>
      <c r="AA43" s="51">
        <f t="shared" si="3"/>
        <v>0</v>
      </c>
      <c r="AB43" s="51" t="str">
        <f t="shared" si="4"/>
        <v/>
      </c>
      <c r="AC43" s="51" t="str">
        <f t="shared" si="4"/>
        <v/>
      </c>
    </row>
    <row r="44" spans="1:29" s="51" customFormat="1" ht="33.75" customHeight="1">
      <c r="A44" s="52">
        <v>23</v>
      </c>
      <c r="B44" s="342"/>
      <c r="C44" s="343"/>
      <c r="D44" s="344"/>
      <c r="E44" s="45"/>
      <c r="F44" s="53"/>
      <c r="G44" s="53"/>
      <c r="H44" s="53"/>
      <c r="I44" s="53"/>
      <c r="J44" s="169"/>
      <c r="K44" s="162"/>
      <c r="L44" s="166"/>
      <c r="M44" s="183" t="b">
        <v>0</v>
      </c>
      <c r="N44" s="472"/>
      <c r="O44" s="473"/>
      <c r="P44" s="473"/>
      <c r="Q44" s="473"/>
      <c r="R44" s="183" t="b">
        <v>0</v>
      </c>
      <c r="S44" s="53"/>
      <c r="T44" s="55"/>
      <c r="U44" s="56"/>
      <c r="V44" s="50">
        <f t="shared" si="0"/>
        <v>0</v>
      </c>
      <c r="Y44" s="51">
        <f t="shared" si="1"/>
        <v>0</v>
      </c>
      <c r="Z44" s="51">
        <f t="shared" si="2"/>
        <v>0</v>
      </c>
      <c r="AA44" s="51">
        <f t="shared" si="3"/>
        <v>0</v>
      </c>
      <c r="AB44" s="51" t="str">
        <f t="shared" si="4"/>
        <v/>
      </c>
      <c r="AC44" s="51" t="str">
        <f t="shared" si="4"/>
        <v/>
      </c>
    </row>
    <row r="45" spans="1:29" s="51" customFormat="1" ht="33.75" customHeight="1">
      <c r="A45" s="52">
        <v>24</v>
      </c>
      <c r="B45" s="342"/>
      <c r="C45" s="343"/>
      <c r="D45" s="344"/>
      <c r="E45" s="45"/>
      <c r="F45" s="53"/>
      <c r="G45" s="53"/>
      <c r="H45" s="53"/>
      <c r="I45" s="53"/>
      <c r="J45" s="169"/>
      <c r="K45" s="162"/>
      <c r="L45" s="166"/>
      <c r="M45" s="183" t="b">
        <v>0</v>
      </c>
      <c r="N45" s="472"/>
      <c r="O45" s="473"/>
      <c r="P45" s="473"/>
      <c r="Q45" s="473"/>
      <c r="R45" s="183" t="b">
        <v>0</v>
      </c>
      <c r="S45" s="53"/>
      <c r="T45" s="55" t="b">
        <v>1</v>
      </c>
      <c r="U45" s="56"/>
      <c r="V45" s="50">
        <f t="shared" si="0"/>
        <v>0</v>
      </c>
      <c r="Y45" s="51">
        <f t="shared" si="1"/>
        <v>0</v>
      </c>
      <c r="Z45" s="51">
        <f t="shared" si="2"/>
        <v>0</v>
      </c>
      <c r="AA45" s="51">
        <f t="shared" si="3"/>
        <v>0</v>
      </c>
      <c r="AB45" s="51" t="str">
        <f t="shared" si="4"/>
        <v/>
      </c>
      <c r="AC45" s="51" t="str">
        <f t="shared" si="4"/>
        <v/>
      </c>
    </row>
    <row r="46" spans="1:29" s="51" customFormat="1" ht="33.75" customHeight="1">
      <c r="A46" s="52">
        <v>25</v>
      </c>
      <c r="B46" s="342"/>
      <c r="C46" s="343"/>
      <c r="D46" s="344"/>
      <c r="E46" s="45"/>
      <c r="F46" s="53"/>
      <c r="G46" s="53"/>
      <c r="H46" s="53"/>
      <c r="I46" s="53"/>
      <c r="J46" s="169"/>
      <c r="K46" s="162"/>
      <c r="L46" s="166"/>
      <c r="M46" s="183" t="b">
        <v>0</v>
      </c>
      <c r="N46" s="472"/>
      <c r="O46" s="473"/>
      <c r="P46" s="473"/>
      <c r="Q46" s="473"/>
      <c r="R46" s="183" t="b">
        <v>0</v>
      </c>
      <c r="S46" s="53"/>
      <c r="T46" s="55"/>
      <c r="U46" s="56"/>
      <c r="V46" s="50">
        <f t="shared" si="0"/>
        <v>0</v>
      </c>
      <c r="Y46" s="51">
        <f t="shared" si="1"/>
        <v>0</v>
      </c>
      <c r="Z46" s="51">
        <f t="shared" si="2"/>
        <v>0</v>
      </c>
      <c r="AA46" s="51">
        <f t="shared" si="3"/>
        <v>0</v>
      </c>
      <c r="AB46" s="51" t="str">
        <f t="shared" si="4"/>
        <v/>
      </c>
      <c r="AC46" s="51" t="str">
        <f t="shared" si="4"/>
        <v/>
      </c>
    </row>
    <row r="47" spans="1:29" s="51" customFormat="1" ht="33.75" customHeight="1">
      <c r="A47" s="52">
        <v>26</v>
      </c>
      <c r="B47" s="342"/>
      <c r="C47" s="343"/>
      <c r="D47" s="344"/>
      <c r="E47" s="45"/>
      <c r="F47" s="53"/>
      <c r="G47" s="53"/>
      <c r="H47" s="53"/>
      <c r="I47" s="53"/>
      <c r="J47" s="169"/>
      <c r="K47" s="162"/>
      <c r="L47" s="166"/>
      <c r="M47" s="183" t="b">
        <v>0</v>
      </c>
      <c r="N47" s="472"/>
      <c r="O47" s="473"/>
      <c r="P47" s="473"/>
      <c r="Q47" s="473"/>
      <c r="R47" s="183" t="b">
        <v>0</v>
      </c>
      <c r="S47" s="53"/>
      <c r="T47" s="55"/>
      <c r="U47" s="56"/>
      <c r="V47" s="50">
        <f t="shared" si="0"/>
        <v>0</v>
      </c>
      <c r="Y47" s="51">
        <f t="shared" si="1"/>
        <v>0</v>
      </c>
      <c r="Z47" s="51">
        <f t="shared" si="2"/>
        <v>0</v>
      </c>
      <c r="AA47" s="51">
        <f t="shared" si="3"/>
        <v>0</v>
      </c>
      <c r="AB47" s="51" t="str">
        <f t="shared" si="4"/>
        <v/>
      </c>
      <c r="AC47" s="51" t="str">
        <f t="shared" si="4"/>
        <v/>
      </c>
    </row>
    <row r="48" spans="1:29" s="51" customFormat="1" ht="33.75" customHeight="1">
      <c r="A48" s="52">
        <v>27</v>
      </c>
      <c r="B48" s="342"/>
      <c r="C48" s="343"/>
      <c r="D48" s="344"/>
      <c r="E48" s="45"/>
      <c r="F48" s="53"/>
      <c r="G48" s="53"/>
      <c r="H48" s="53"/>
      <c r="I48" s="53"/>
      <c r="J48" s="169"/>
      <c r="K48" s="162"/>
      <c r="L48" s="166"/>
      <c r="M48" s="183" t="b">
        <v>0</v>
      </c>
      <c r="N48" s="472"/>
      <c r="O48" s="473"/>
      <c r="P48" s="473"/>
      <c r="Q48" s="473"/>
      <c r="R48" s="183" t="b">
        <v>0</v>
      </c>
      <c r="S48" s="53"/>
      <c r="T48" s="55"/>
      <c r="U48" s="56"/>
      <c r="V48" s="50">
        <f t="shared" si="0"/>
        <v>0</v>
      </c>
      <c r="Y48" s="51">
        <f t="shared" si="1"/>
        <v>0</v>
      </c>
      <c r="Z48" s="51">
        <f t="shared" si="2"/>
        <v>0</v>
      </c>
      <c r="AA48" s="51">
        <f t="shared" si="3"/>
        <v>0</v>
      </c>
      <c r="AB48" s="51" t="str">
        <f t="shared" si="4"/>
        <v/>
      </c>
      <c r="AC48" s="51" t="str">
        <f t="shared" si="4"/>
        <v/>
      </c>
    </row>
    <row r="49" spans="1:29" s="51" customFormat="1" ht="33.75" customHeight="1">
      <c r="A49" s="52">
        <v>28</v>
      </c>
      <c r="B49" s="342"/>
      <c r="C49" s="343"/>
      <c r="D49" s="344"/>
      <c r="E49" s="45"/>
      <c r="F49" s="53"/>
      <c r="G49" s="53"/>
      <c r="H49" s="53"/>
      <c r="I49" s="53"/>
      <c r="J49" s="169"/>
      <c r="K49" s="162"/>
      <c r="L49" s="166"/>
      <c r="M49" s="183" t="b">
        <v>0</v>
      </c>
      <c r="N49" s="472"/>
      <c r="O49" s="473"/>
      <c r="P49" s="473"/>
      <c r="Q49" s="473"/>
      <c r="R49" s="183" t="b">
        <v>0</v>
      </c>
      <c r="S49" s="53"/>
      <c r="T49" s="55"/>
      <c r="U49" s="56"/>
      <c r="V49" s="50">
        <f t="shared" si="0"/>
        <v>0</v>
      </c>
      <c r="Y49" s="51">
        <f t="shared" si="1"/>
        <v>0</v>
      </c>
      <c r="Z49" s="51">
        <f t="shared" si="2"/>
        <v>0</v>
      </c>
      <c r="AA49" s="51">
        <f t="shared" si="3"/>
        <v>0</v>
      </c>
      <c r="AB49" s="51" t="str">
        <f t="shared" si="4"/>
        <v/>
      </c>
      <c r="AC49" s="51" t="str">
        <f t="shared" si="4"/>
        <v/>
      </c>
    </row>
    <row r="50" spans="1:29" s="51" customFormat="1" ht="33.75" customHeight="1">
      <c r="A50" s="52">
        <v>29</v>
      </c>
      <c r="B50" s="342"/>
      <c r="C50" s="343"/>
      <c r="D50" s="344"/>
      <c r="E50" s="45"/>
      <c r="F50" s="53"/>
      <c r="G50" s="53"/>
      <c r="H50" s="53"/>
      <c r="I50" s="53"/>
      <c r="J50" s="169"/>
      <c r="K50" s="162"/>
      <c r="L50" s="166"/>
      <c r="M50" s="183" t="b">
        <v>0</v>
      </c>
      <c r="N50" s="472"/>
      <c r="O50" s="473"/>
      <c r="P50" s="473"/>
      <c r="Q50" s="473"/>
      <c r="R50" s="183" t="b">
        <v>0</v>
      </c>
      <c r="S50" s="53"/>
      <c r="T50" s="55"/>
      <c r="U50" s="56"/>
      <c r="V50" s="50">
        <f t="shared" si="0"/>
        <v>0</v>
      </c>
      <c r="Y50" s="51">
        <f t="shared" si="1"/>
        <v>0</v>
      </c>
      <c r="Z50" s="51">
        <f t="shared" si="2"/>
        <v>0</v>
      </c>
      <c r="AA50" s="51">
        <f t="shared" si="3"/>
        <v>0</v>
      </c>
      <c r="AB50" s="51" t="str">
        <f t="shared" si="4"/>
        <v/>
      </c>
      <c r="AC50" s="51" t="str">
        <f t="shared" si="4"/>
        <v/>
      </c>
    </row>
    <row r="51" spans="1:29" s="51" customFormat="1" ht="33.75" customHeight="1">
      <c r="A51" s="52">
        <v>30</v>
      </c>
      <c r="B51" s="342"/>
      <c r="C51" s="343"/>
      <c r="D51" s="344"/>
      <c r="E51" s="45"/>
      <c r="F51" s="53"/>
      <c r="G51" s="53"/>
      <c r="H51" s="53"/>
      <c r="I51" s="53"/>
      <c r="J51" s="169"/>
      <c r="K51" s="162"/>
      <c r="L51" s="166"/>
      <c r="M51" s="183" t="b">
        <v>0</v>
      </c>
      <c r="N51" s="472"/>
      <c r="O51" s="473"/>
      <c r="P51" s="473"/>
      <c r="Q51" s="473"/>
      <c r="R51" s="183" t="b">
        <v>0</v>
      </c>
      <c r="S51" s="53"/>
      <c r="T51" s="55"/>
      <c r="U51" s="56"/>
      <c r="V51" s="50">
        <f t="shared" si="0"/>
        <v>0</v>
      </c>
      <c r="Y51" s="51">
        <f t="shared" si="1"/>
        <v>0</v>
      </c>
      <c r="Z51" s="51">
        <f t="shared" si="2"/>
        <v>0</v>
      </c>
      <c r="AA51" s="51">
        <f t="shared" si="3"/>
        <v>0</v>
      </c>
      <c r="AB51" s="51" t="str">
        <f t="shared" si="4"/>
        <v/>
      </c>
      <c r="AC51" s="51" t="str">
        <f t="shared" si="4"/>
        <v/>
      </c>
    </row>
    <row r="52" spans="1:29" s="51" customFormat="1" ht="33.75" customHeight="1">
      <c r="A52" s="52">
        <v>31</v>
      </c>
      <c r="B52" s="342"/>
      <c r="C52" s="343"/>
      <c r="D52" s="344"/>
      <c r="E52" s="45"/>
      <c r="F52" s="53"/>
      <c r="G52" s="53"/>
      <c r="H52" s="53"/>
      <c r="I52" s="53"/>
      <c r="J52" s="169"/>
      <c r="K52" s="162"/>
      <c r="L52" s="166"/>
      <c r="M52" s="183" t="b">
        <v>0</v>
      </c>
      <c r="N52" s="472"/>
      <c r="O52" s="473"/>
      <c r="P52" s="473"/>
      <c r="Q52" s="473"/>
      <c r="R52" s="183" t="b">
        <v>0</v>
      </c>
      <c r="S52" s="53"/>
      <c r="T52" s="55"/>
      <c r="U52" s="56"/>
      <c r="V52" s="50">
        <f t="shared" si="0"/>
        <v>0</v>
      </c>
      <c r="Y52" s="51">
        <f t="shared" si="1"/>
        <v>0</v>
      </c>
      <c r="Z52" s="51">
        <f t="shared" si="2"/>
        <v>0</v>
      </c>
      <c r="AA52" s="51">
        <f t="shared" si="3"/>
        <v>0</v>
      </c>
      <c r="AB52" s="51" t="str">
        <f t="shared" si="4"/>
        <v/>
      </c>
      <c r="AC52" s="51" t="str">
        <f t="shared" si="4"/>
        <v/>
      </c>
    </row>
    <row r="53" spans="1:29" s="51" customFormat="1" ht="33.75" customHeight="1">
      <c r="A53" s="52">
        <v>32</v>
      </c>
      <c r="B53" s="342"/>
      <c r="C53" s="343"/>
      <c r="D53" s="344"/>
      <c r="E53" s="45"/>
      <c r="F53" s="53"/>
      <c r="G53" s="53"/>
      <c r="H53" s="53"/>
      <c r="I53" s="53"/>
      <c r="J53" s="169"/>
      <c r="K53" s="162"/>
      <c r="L53" s="166"/>
      <c r="M53" s="183" t="b">
        <v>0</v>
      </c>
      <c r="N53" s="472"/>
      <c r="O53" s="473"/>
      <c r="P53" s="473"/>
      <c r="Q53" s="473"/>
      <c r="R53" s="183" t="b">
        <v>0</v>
      </c>
      <c r="S53" s="53"/>
      <c r="T53" s="55"/>
      <c r="U53" s="56"/>
      <c r="V53" s="50">
        <f t="shared" si="0"/>
        <v>0</v>
      </c>
      <c r="Y53" s="51">
        <f t="shared" si="1"/>
        <v>0</v>
      </c>
      <c r="Z53" s="51">
        <f t="shared" si="2"/>
        <v>0</v>
      </c>
      <c r="AA53" s="51">
        <f t="shared" si="3"/>
        <v>0</v>
      </c>
      <c r="AB53" s="51" t="str">
        <f t="shared" si="4"/>
        <v/>
      </c>
      <c r="AC53" s="51" t="str">
        <f t="shared" si="4"/>
        <v/>
      </c>
    </row>
    <row r="54" spans="1:29" s="51" customFormat="1" ht="33.75" customHeight="1">
      <c r="A54" s="52">
        <v>33</v>
      </c>
      <c r="B54" s="342"/>
      <c r="C54" s="343"/>
      <c r="D54" s="344"/>
      <c r="E54" s="45"/>
      <c r="F54" s="53"/>
      <c r="G54" s="53"/>
      <c r="H54" s="53"/>
      <c r="I54" s="53"/>
      <c r="J54" s="169"/>
      <c r="K54" s="162"/>
      <c r="L54" s="166"/>
      <c r="M54" s="183" t="b">
        <v>0</v>
      </c>
      <c r="N54" s="472"/>
      <c r="O54" s="473"/>
      <c r="P54" s="473"/>
      <c r="Q54" s="473"/>
      <c r="R54" s="183" t="b">
        <v>0</v>
      </c>
      <c r="S54" s="53"/>
      <c r="T54" s="55"/>
      <c r="U54" s="56"/>
      <c r="V54" s="50">
        <f t="shared" si="0"/>
        <v>0</v>
      </c>
      <c r="Y54" s="51">
        <f t="shared" si="1"/>
        <v>0</v>
      </c>
      <c r="Z54" s="51">
        <f t="shared" si="2"/>
        <v>0</v>
      </c>
      <c r="AA54" s="51">
        <f t="shared" si="3"/>
        <v>0</v>
      </c>
      <c r="AB54" s="51" t="str">
        <f t="shared" si="4"/>
        <v/>
      </c>
      <c r="AC54" s="51" t="str">
        <f t="shared" si="4"/>
        <v/>
      </c>
    </row>
    <row r="55" spans="1:29" s="51" customFormat="1" ht="33.75" customHeight="1">
      <c r="A55" s="52">
        <v>34</v>
      </c>
      <c r="B55" s="342"/>
      <c r="C55" s="343"/>
      <c r="D55" s="344"/>
      <c r="E55" s="45"/>
      <c r="F55" s="53"/>
      <c r="G55" s="53"/>
      <c r="H55" s="53"/>
      <c r="I55" s="53"/>
      <c r="J55" s="169"/>
      <c r="K55" s="162"/>
      <c r="L55" s="166"/>
      <c r="M55" s="183" t="b">
        <v>0</v>
      </c>
      <c r="N55" s="472"/>
      <c r="O55" s="473"/>
      <c r="P55" s="473"/>
      <c r="Q55" s="473"/>
      <c r="R55" s="183" t="b">
        <v>0</v>
      </c>
      <c r="S55" s="53"/>
      <c r="T55" s="55"/>
      <c r="U55" s="56"/>
      <c r="V55" s="50">
        <f t="shared" si="0"/>
        <v>0</v>
      </c>
      <c r="Y55" s="51">
        <f t="shared" si="1"/>
        <v>0</v>
      </c>
      <c r="Z55" s="51">
        <f t="shared" si="2"/>
        <v>0</v>
      </c>
      <c r="AA55" s="51">
        <f t="shared" si="3"/>
        <v>0</v>
      </c>
      <c r="AB55" s="51" t="str">
        <f t="shared" si="4"/>
        <v/>
      </c>
      <c r="AC55" s="51" t="str">
        <f t="shared" si="4"/>
        <v/>
      </c>
    </row>
    <row r="56" spans="1:29" s="51" customFormat="1" ht="33.75" customHeight="1">
      <c r="A56" s="52">
        <v>35</v>
      </c>
      <c r="B56" s="342"/>
      <c r="C56" s="343"/>
      <c r="D56" s="344"/>
      <c r="E56" s="45"/>
      <c r="F56" s="53"/>
      <c r="G56" s="53"/>
      <c r="H56" s="53"/>
      <c r="I56" s="53"/>
      <c r="J56" s="169"/>
      <c r="K56" s="162"/>
      <c r="L56" s="166"/>
      <c r="M56" s="183" t="b">
        <v>0</v>
      </c>
      <c r="N56" s="478"/>
      <c r="O56" s="479"/>
      <c r="P56" s="479"/>
      <c r="Q56" s="480"/>
      <c r="R56" s="183" t="b">
        <v>0</v>
      </c>
      <c r="S56" s="53"/>
      <c r="T56" s="55"/>
      <c r="U56" s="56"/>
      <c r="V56" s="50">
        <f t="shared" si="0"/>
        <v>0</v>
      </c>
      <c r="Y56" s="51">
        <f t="shared" si="1"/>
        <v>0</v>
      </c>
      <c r="Z56" s="51">
        <f t="shared" si="2"/>
        <v>0</v>
      </c>
      <c r="AA56" s="51">
        <f t="shared" si="3"/>
        <v>0</v>
      </c>
      <c r="AB56" s="51" t="str">
        <f t="shared" si="4"/>
        <v/>
      </c>
      <c r="AC56" s="51" t="str">
        <f t="shared" si="4"/>
        <v/>
      </c>
    </row>
    <row r="57" spans="1:29" s="51" customFormat="1" ht="33.75" customHeight="1">
      <c r="A57" s="52">
        <v>36</v>
      </c>
      <c r="B57" s="342"/>
      <c r="C57" s="343"/>
      <c r="D57" s="344"/>
      <c r="E57" s="45"/>
      <c r="F57" s="53"/>
      <c r="G57" s="53"/>
      <c r="H57" s="53"/>
      <c r="I57" s="53"/>
      <c r="J57" s="169"/>
      <c r="K57" s="162"/>
      <c r="L57" s="166"/>
      <c r="M57" s="183" t="b">
        <v>0</v>
      </c>
      <c r="N57" s="478"/>
      <c r="O57" s="479"/>
      <c r="P57" s="479"/>
      <c r="Q57" s="480"/>
      <c r="R57" s="183" t="b">
        <v>0</v>
      </c>
      <c r="S57" s="53"/>
      <c r="T57" s="55"/>
      <c r="U57" s="56"/>
      <c r="V57" s="50">
        <f t="shared" si="0"/>
        <v>0</v>
      </c>
      <c r="Y57" s="51">
        <f t="shared" si="1"/>
        <v>0</v>
      </c>
      <c r="Z57" s="51">
        <f t="shared" si="2"/>
        <v>0</v>
      </c>
      <c r="AA57" s="51">
        <f t="shared" si="3"/>
        <v>0</v>
      </c>
      <c r="AB57" s="51" t="str">
        <f t="shared" si="4"/>
        <v/>
      </c>
      <c r="AC57" s="51" t="str">
        <f t="shared" si="4"/>
        <v/>
      </c>
    </row>
    <row r="58" spans="1:29" s="51" customFormat="1" ht="33.75" customHeight="1">
      <c r="A58" s="52">
        <v>37</v>
      </c>
      <c r="B58" s="342"/>
      <c r="C58" s="343"/>
      <c r="D58" s="344"/>
      <c r="E58" s="45"/>
      <c r="F58" s="53"/>
      <c r="G58" s="53"/>
      <c r="H58" s="53"/>
      <c r="I58" s="53"/>
      <c r="J58" s="169"/>
      <c r="K58" s="162"/>
      <c r="L58" s="166"/>
      <c r="M58" s="183" t="b">
        <v>0</v>
      </c>
      <c r="N58" s="478"/>
      <c r="O58" s="479"/>
      <c r="P58" s="479"/>
      <c r="Q58" s="480"/>
      <c r="R58" s="183" t="b">
        <v>0</v>
      </c>
      <c r="S58" s="53"/>
      <c r="T58" s="55"/>
      <c r="U58" s="56"/>
      <c r="V58" s="50">
        <f t="shared" si="0"/>
        <v>0</v>
      </c>
      <c r="Y58" s="51">
        <f t="shared" si="1"/>
        <v>0</v>
      </c>
      <c r="Z58" s="51">
        <f t="shared" si="2"/>
        <v>0</v>
      </c>
      <c r="AA58" s="51">
        <f t="shared" si="3"/>
        <v>0</v>
      </c>
      <c r="AB58" s="51" t="str">
        <f t="shared" si="4"/>
        <v/>
      </c>
      <c r="AC58" s="51" t="str">
        <f t="shared" si="4"/>
        <v/>
      </c>
    </row>
    <row r="59" spans="1:29" s="51" customFormat="1" ht="33.75" customHeight="1">
      <c r="A59" s="52">
        <v>38</v>
      </c>
      <c r="B59" s="342"/>
      <c r="C59" s="343"/>
      <c r="D59" s="344"/>
      <c r="E59" s="45"/>
      <c r="F59" s="53"/>
      <c r="G59" s="53"/>
      <c r="H59" s="53"/>
      <c r="I59" s="53"/>
      <c r="J59" s="169"/>
      <c r="K59" s="162"/>
      <c r="L59" s="166"/>
      <c r="M59" s="183" t="b">
        <v>0</v>
      </c>
      <c r="N59" s="478"/>
      <c r="O59" s="479"/>
      <c r="P59" s="479"/>
      <c r="Q59" s="480"/>
      <c r="R59" s="183" t="b">
        <v>0</v>
      </c>
      <c r="S59" s="53"/>
      <c r="T59" s="55"/>
      <c r="U59" s="56"/>
      <c r="V59" s="50">
        <f t="shared" si="0"/>
        <v>0</v>
      </c>
      <c r="Y59" s="51">
        <f t="shared" si="1"/>
        <v>0</v>
      </c>
      <c r="Z59" s="51">
        <f t="shared" si="2"/>
        <v>0</v>
      </c>
      <c r="AA59" s="51">
        <f t="shared" si="3"/>
        <v>0</v>
      </c>
      <c r="AB59" s="51" t="str">
        <f t="shared" si="4"/>
        <v/>
      </c>
      <c r="AC59" s="51" t="str">
        <f t="shared" si="4"/>
        <v/>
      </c>
    </row>
    <row r="60" spans="1:29" s="51" customFormat="1" ht="33.75" customHeight="1">
      <c r="A60" s="52">
        <v>39</v>
      </c>
      <c r="B60" s="342"/>
      <c r="C60" s="343"/>
      <c r="D60" s="344"/>
      <c r="E60" s="45"/>
      <c r="F60" s="53"/>
      <c r="G60" s="53"/>
      <c r="H60" s="53"/>
      <c r="I60" s="53"/>
      <c r="J60" s="169"/>
      <c r="K60" s="162"/>
      <c r="L60" s="166"/>
      <c r="M60" s="183" t="b">
        <v>0</v>
      </c>
      <c r="N60" s="478"/>
      <c r="O60" s="479"/>
      <c r="P60" s="479"/>
      <c r="Q60" s="480"/>
      <c r="R60" s="183" t="b">
        <v>0</v>
      </c>
      <c r="S60" s="53"/>
      <c r="T60" s="55"/>
      <c r="U60" s="56"/>
      <c r="V60" s="50">
        <f t="shared" si="0"/>
        <v>0</v>
      </c>
      <c r="Y60" s="51">
        <f t="shared" si="1"/>
        <v>0</v>
      </c>
      <c r="Z60" s="51">
        <f t="shared" si="2"/>
        <v>0</v>
      </c>
      <c r="AA60" s="51">
        <f t="shared" si="3"/>
        <v>0</v>
      </c>
      <c r="AB60" s="51" t="str">
        <f t="shared" si="4"/>
        <v/>
      </c>
      <c r="AC60" s="51" t="str">
        <f t="shared" si="4"/>
        <v/>
      </c>
    </row>
    <row r="61" spans="1:29" s="51" customFormat="1" ht="33.75" customHeight="1">
      <c r="A61" s="52">
        <v>40</v>
      </c>
      <c r="B61" s="342"/>
      <c r="C61" s="343"/>
      <c r="D61" s="344"/>
      <c r="E61" s="45"/>
      <c r="F61" s="53"/>
      <c r="G61" s="53"/>
      <c r="H61" s="53"/>
      <c r="I61" s="53"/>
      <c r="J61" s="169"/>
      <c r="K61" s="162"/>
      <c r="L61" s="166"/>
      <c r="M61" s="183" t="b">
        <v>0</v>
      </c>
      <c r="N61" s="478"/>
      <c r="O61" s="479"/>
      <c r="P61" s="479"/>
      <c r="Q61" s="480"/>
      <c r="R61" s="183" t="b">
        <v>0</v>
      </c>
      <c r="S61" s="53"/>
      <c r="T61" s="55" t="b">
        <v>1</v>
      </c>
      <c r="U61" s="56"/>
      <c r="V61" s="50">
        <f t="shared" si="0"/>
        <v>0</v>
      </c>
      <c r="Y61" s="51">
        <f t="shared" si="1"/>
        <v>0</v>
      </c>
      <c r="Z61" s="51">
        <f t="shared" si="2"/>
        <v>0</v>
      </c>
      <c r="AA61" s="51">
        <f t="shared" si="3"/>
        <v>0</v>
      </c>
      <c r="AB61" s="51" t="str">
        <f t="shared" si="4"/>
        <v/>
      </c>
      <c r="AC61" s="51" t="str">
        <f t="shared" si="4"/>
        <v/>
      </c>
    </row>
    <row r="62" spans="1:29" s="51" customFormat="1" ht="33.75" customHeight="1">
      <c r="A62" s="52">
        <v>41</v>
      </c>
      <c r="B62" s="342"/>
      <c r="C62" s="343"/>
      <c r="D62" s="344"/>
      <c r="E62" s="45"/>
      <c r="F62" s="53"/>
      <c r="G62" s="53"/>
      <c r="H62" s="53"/>
      <c r="I62" s="53"/>
      <c r="J62" s="169"/>
      <c r="K62" s="162"/>
      <c r="L62" s="166"/>
      <c r="M62" s="183" t="b">
        <v>0</v>
      </c>
      <c r="N62" s="478"/>
      <c r="O62" s="479"/>
      <c r="P62" s="479"/>
      <c r="Q62" s="480"/>
      <c r="R62" s="183" t="b">
        <v>0</v>
      </c>
      <c r="S62" s="53"/>
      <c r="T62" s="55"/>
      <c r="U62" s="56"/>
      <c r="V62" s="50">
        <f t="shared" si="0"/>
        <v>0</v>
      </c>
      <c r="Y62" s="51">
        <f t="shared" si="1"/>
        <v>0</v>
      </c>
      <c r="Z62" s="51">
        <f t="shared" si="2"/>
        <v>0</v>
      </c>
      <c r="AA62" s="51">
        <f t="shared" si="3"/>
        <v>0</v>
      </c>
      <c r="AB62" s="51" t="str">
        <f t="shared" si="4"/>
        <v/>
      </c>
      <c r="AC62" s="51" t="str">
        <f t="shared" si="4"/>
        <v/>
      </c>
    </row>
    <row r="63" spans="1:29" s="51" customFormat="1" ht="33.75" customHeight="1">
      <c r="A63" s="52">
        <v>42</v>
      </c>
      <c r="B63" s="342"/>
      <c r="C63" s="343"/>
      <c r="D63" s="344"/>
      <c r="E63" s="45"/>
      <c r="F63" s="53"/>
      <c r="G63" s="53"/>
      <c r="H63" s="53"/>
      <c r="I63" s="53"/>
      <c r="J63" s="169"/>
      <c r="K63" s="162"/>
      <c r="L63" s="166"/>
      <c r="M63" s="183" t="b">
        <v>0</v>
      </c>
      <c r="N63" s="478"/>
      <c r="O63" s="479"/>
      <c r="P63" s="479"/>
      <c r="Q63" s="480"/>
      <c r="R63" s="183" t="b">
        <v>0</v>
      </c>
      <c r="S63" s="53"/>
      <c r="T63" s="55"/>
      <c r="U63" s="56"/>
      <c r="V63" s="50">
        <f t="shared" si="0"/>
        <v>0</v>
      </c>
      <c r="Y63" s="51">
        <f t="shared" si="1"/>
        <v>0</v>
      </c>
      <c r="Z63" s="51">
        <f t="shared" si="2"/>
        <v>0</v>
      </c>
      <c r="AA63" s="51">
        <f t="shared" si="3"/>
        <v>0</v>
      </c>
      <c r="AB63" s="51" t="str">
        <f t="shared" si="4"/>
        <v/>
      </c>
      <c r="AC63" s="51" t="str">
        <f t="shared" si="4"/>
        <v/>
      </c>
    </row>
    <row r="64" spans="1:29" s="51" customFormat="1" ht="33.75" customHeight="1">
      <c r="A64" s="52">
        <v>43</v>
      </c>
      <c r="B64" s="342"/>
      <c r="C64" s="343"/>
      <c r="D64" s="344"/>
      <c r="E64" s="45"/>
      <c r="F64" s="53"/>
      <c r="G64" s="53"/>
      <c r="H64" s="53"/>
      <c r="I64" s="53"/>
      <c r="J64" s="169"/>
      <c r="K64" s="162"/>
      <c r="L64" s="166"/>
      <c r="M64" s="183" t="b">
        <v>0</v>
      </c>
      <c r="N64" s="478"/>
      <c r="O64" s="479"/>
      <c r="P64" s="479"/>
      <c r="Q64" s="480"/>
      <c r="R64" s="183" t="b">
        <v>0</v>
      </c>
      <c r="S64" s="53"/>
      <c r="T64" s="55"/>
      <c r="U64" s="56"/>
      <c r="V64" s="50">
        <f t="shared" si="0"/>
        <v>0</v>
      </c>
      <c r="Y64" s="51">
        <f t="shared" si="1"/>
        <v>0</v>
      </c>
      <c r="Z64" s="51">
        <f t="shared" si="2"/>
        <v>0</v>
      </c>
      <c r="AA64" s="51">
        <f t="shared" si="3"/>
        <v>0</v>
      </c>
      <c r="AB64" s="51" t="str">
        <f t="shared" si="4"/>
        <v/>
      </c>
      <c r="AC64" s="51" t="str">
        <f t="shared" si="4"/>
        <v/>
      </c>
    </row>
    <row r="65" spans="1:29" s="51" customFormat="1" ht="33.75" customHeight="1">
      <c r="A65" s="52">
        <v>44</v>
      </c>
      <c r="B65" s="342"/>
      <c r="C65" s="343"/>
      <c r="D65" s="344"/>
      <c r="E65" s="45"/>
      <c r="F65" s="53"/>
      <c r="G65" s="53"/>
      <c r="H65" s="53"/>
      <c r="I65" s="53"/>
      <c r="J65" s="169"/>
      <c r="K65" s="162"/>
      <c r="L65" s="166"/>
      <c r="M65" s="183" t="b">
        <v>0</v>
      </c>
      <c r="N65" s="478"/>
      <c r="O65" s="479"/>
      <c r="P65" s="479"/>
      <c r="Q65" s="480"/>
      <c r="R65" s="183" t="b">
        <v>0</v>
      </c>
      <c r="S65" s="53"/>
      <c r="T65" s="55"/>
      <c r="U65" s="56"/>
      <c r="V65" s="50">
        <f t="shared" si="0"/>
        <v>0</v>
      </c>
      <c r="Y65" s="51">
        <f t="shared" si="1"/>
        <v>0</v>
      </c>
      <c r="Z65" s="51">
        <f t="shared" si="2"/>
        <v>0</v>
      </c>
      <c r="AA65" s="51">
        <f t="shared" si="3"/>
        <v>0</v>
      </c>
      <c r="AB65" s="51" t="str">
        <f t="shared" si="4"/>
        <v/>
      </c>
      <c r="AC65" s="51" t="str">
        <f t="shared" si="4"/>
        <v/>
      </c>
    </row>
    <row r="66" spans="1:29" s="51" customFormat="1" ht="33.75" customHeight="1">
      <c r="A66" s="52">
        <v>45</v>
      </c>
      <c r="B66" s="342"/>
      <c r="C66" s="343"/>
      <c r="D66" s="344"/>
      <c r="E66" s="45"/>
      <c r="F66" s="53"/>
      <c r="G66" s="53"/>
      <c r="H66" s="53"/>
      <c r="I66" s="53"/>
      <c r="J66" s="169"/>
      <c r="K66" s="162"/>
      <c r="L66" s="166"/>
      <c r="M66" s="183" t="b">
        <v>0</v>
      </c>
      <c r="N66" s="478"/>
      <c r="O66" s="479"/>
      <c r="P66" s="479"/>
      <c r="Q66" s="480"/>
      <c r="R66" s="183" t="b">
        <v>0</v>
      </c>
      <c r="S66" s="53"/>
      <c r="T66" s="55"/>
      <c r="U66" s="56"/>
      <c r="V66" s="50">
        <f t="shared" si="0"/>
        <v>0</v>
      </c>
      <c r="Y66" s="51">
        <f t="shared" si="1"/>
        <v>0</v>
      </c>
      <c r="Z66" s="51">
        <f t="shared" si="2"/>
        <v>0</v>
      </c>
      <c r="AA66" s="51">
        <f t="shared" si="3"/>
        <v>0</v>
      </c>
      <c r="AB66" s="51" t="str">
        <f t="shared" si="4"/>
        <v/>
      </c>
      <c r="AC66" s="51" t="str">
        <f t="shared" si="4"/>
        <v/>
      </c>
    </row>
    <row r="67" spans="1:29" s="51" customFormat="1" ht="33.75" customHeight="1">
      <c r="A67" s="52">
        <v>46</v>
      </c>
      <c r="B67" s="342"/>
      <c r="C67" s="343"/>
      <c r="D67" s="344"/>
      <c r="E67" s="45"/>
      <c r="F67" s="53"/>
      <c r="G67" s="53"/>
      <c r="H67" s="53"/>
      <c r="I67" s="53"/>
      <c r="J67" s="169"/>
      <c r="K67" s="162"/>
      <c r="L67" s="166"/>
      <c r="M67" s="183" t="b">
        <v>0</v>
      </c>
      <c r="N67" s="478"/>
      <c r="O67" s="479"/>
      <c r="P67" s="479"/>
      <c r="Q67" s="480"/>
      <c r="R67" s="183" t="b">
        <v>0</v>
      </c>
      <c r="S67" s="53"/>
      <c r="T67" s="55"/>
      <c r="U67" s="56"/>
      <c r="V67" s="50">
        <f t="shared" si="0"/>
        <v>0</v>
      </c>
      <c r="Y67" s="51">
        <f t="shared" si="1"/>
        <v>0</v>
      </c>
      <c r="Z67" s="51">
        <f t="shared" si="2"/>
        <v>0</v>
      </c>
      <c r="AA67" s="51">
        <f t="shared" si="3"/>
        <v>0</v>
      </c>
      <c r="AB67" s="51" t="str">
        <f t="shared" si="4"/>
        <v/>
      </c>
      <c r="AC67" s="51" t="str">
        <f t="shared" si="4"/>
        <v/>
      </c>
    </row>
    <row r="68" spans="1:29" s="51" customFormat="1" ht="33.75" customHeight="1">
      <c r="A68" s="52">
        <v>47</v>
      </c>
      <c r="B68" s="342"/>
      <c r="C68" s="343"/>
      <c r="D68" s="344"/>
      <c r="E68" s="45"/>
      <c r="F68" s="53"/>
      <c r="G68" s="53"/>
      <c r="H68" s="53"/>
      <c r="I68" s="53"/>
      <c r="J68" s="169"/>
      <c r="K68" s="162"/>
      <c r="L68" s="166"/>
      <c r="M68" s="183" t="b">
        <v>0</v>
      </c>
      <c r="N68" s="478"/>
      <c r="O68" s="479"/>
      <c r="P68" s="479"/>
      <c r="Q68" s="480"/>
      <c r="R68" s="183" t="b">
        <v>0</v>
      </c>
      <c r="S68" s="53"/>
      <c r="T68" s="55"/>
      <c r="U68" s="56"/>
      <c r="V68" s="50">
        <f t="shared" si="0"/>
        <v>0</v>
      </c>
      <c r="Y68" s="51">
        <f t="shared" si="1"/>
        <v>0</v>
      </c>
      <c r="Z68" s="51">
        <f t="shared" si="2"/>
        <v>0</v>
      </c>
      <c r="AA68" s="51">
        <f t="shared" si="3"/>
        <v>0</v>
      </c>
      <c r="AB68" s="51" t="str">
        <f t="shared" si="4"/>
        <v/>
      </c>
      <c r="AC68" s="51" t="str">
        <f t="shared" si="4"/>
        <v/>
      </c>
    </row>
    <row r="69" spans="1:29" s="51" customFormat="1" ht="33.75" customHeight="1">
      <c r="A69" s="52">
        <v>48</v>
      </c>
      <c r="B69" s="342"/>
      <c r="C69" s="343"/>
      <c r="D69" s="344"/>
      <c r="E69" s="45"/>
      <c r="F69" s="53"/>
      <c r="G69" s="53"/>
      <c r="H69" s="53"/>
      <c r="I69" s="53"/>
      <c r="J69" s="169"/>
      <c r="K69" s="162"/>
      <c r="L69" s="166"/>
      <c r="M69" s="183" t="b">
        <v>0</v>
      </c>
      <c r="N69" s="478"/>
      <c r="O69" s="479"/>
      <c r="P69" s="479"/>
      <c r="Q69" s="480"/>
      <c r="R69" s="183" t="b">
        <v>0</v>
      </c>
      <c r="S69" s="53"/>
      <c r="T69" s="55"/>
      <c r="U69" s="56"/>
      <c r="V69" s="50">
        <f t="shared" si="0"/>
        <v>0</v>
      </c>
      <c r="Y69" s="51">
        <f t="shared" si="1"/>
        <v>0</v>
      </c>
      <c r="Z69" s="51">
        <f t="shared" si="2"/>
        <v>0</v>
      </c>
      <c r="AA69" s="51">
        <f t="shared" si="3"/>
        <v>0</v>
      </c>
      <c r="AB69" s="51" t="str">
        <f t="shared" si="4"/>
        <v/>
      </c>
      <c r="AC69" s="51" t="str">
        <f t="shared" si="4"/>
        <v/>
      </c>
    </row>
    <row r="70" spans="1:29" s="51" customFormat="1" ht="33.75" customHeight="1">
      <c r="A70" s="52">
        <v>49</v>
      </c>
      <c r="B70" s="342"/>
      <c r="C70" s="343"/>
      <c r="D70" s="344"/>
      <c r="E70" s="45"/>
      <c r="F70" s="53"/>
      <c r="G70" s="53"/>
      <c r="H70" s="53"/>
      <c r="I70" s="53"/>
      <c r="J70" s="169"/>
      <c r="K70" s="162"/>
      <c r="L70" s="166"/>
      <c r="M70" s="183" t="b">
        <v>0</v>
      </c>
      <c r="N70" s="478"/>
      <c r="O70" s="479"/>
      <c r="P70" s="479"/>
      <c r="Q70" s="480"/>
      <c r="R70" s="183" t="b">
        <v>0</v>
      </c>
      <c r="S70" s="53"/>
      <c r="T70" s="55"/>
      <c r="U70" s="56"/>
      <c r="V70" s="50">
        <f t="shared" si="0"/>
        <v>0</v>
      </c>
      <c r="Y70" s="51">
        <f t="shared" si="1"/>
        <v>0</v>
      </c>
      <c r="Z70" s="51">
        <f t="shared" si="2"/>
        <v>0</v>
      </c>
      <c r="AA70" s="51">
        <f t="shared" si="3"/>
        <v>0</v>
      </c>
      <c r="AB70" s="51" t="str">
        <f t="shared" si="4"/>
        <v/>
      </c>
      <c r="AC70" s="51" t="str">
        <f t="shared" si="4"/>
        <v/>
      </c>
    </row>
    <row r="71" spans="1:29" s="51" customFormat="1" ht="33.75" customHeight="1">
      <c r="A71" s="52">
        <v>50</v>
      </c>
      <c r="B71" s="342"/>
      <c r="C71" s="343"/>
      <c r="D71" s="344"/>
      <c r="E71" s="45"/>
      <c r="F71" s="53"/>
      <c r="G71" s="53"/>
      <c r="H71" s="53"/>
      <c r="I71" s="53"/>
      <c r="J71" s="169"/>
      <c r="K71" s="162"/>
      <c r="L71" s="166"/>
      <c r="M71" s="183" t="b">
        <v>0</v>
      </c>
      <c r="N71" s="478"/>
      <c r="O71" s="479"/>
      <c r="P71" s="479"/>
      <c r="Q71" s="480"/>
      <c r="R71" s="183" t="b">
        <v>0</v>
      </c>
      <c r="S71" s="53"/>
      <c r="T71" s="55"/>
      <c r="U71" s="56"/>
      <c r="V71" s="50">
        <f t="shared" si="0"/>
        <v>0</v>
      </c>
      <c r="Y71" s="51">
        <f t="shared" si="1"/>
        <v>0</v>
      </c>
      <c r="Z71" s="51">
        <f t="shared" si="2"/>
        <v>0</v>
      </c>
      <c r="AA71" s="51">
        <f t="shared" si="3"/>
        <v>0</v>
      </c>
      <c r="AB71" s="51" t="str">
        <f t="shared" si="4"/>
        <v/>
      </c>
      <c r="AC71" s="51" t="str">
        <f t="shared" si="4"/>
        <v/>
      </c>
    </row>
    <row r="72" spans="1:29" s="51" customFormat="1" ht="33.75" customHeight="1">
      <c r="A72" s="52">
        <v>51</v>
      </c>
      <c r="B72" s="342"/>
      <c r="C72" s="343"/>
      <c r="D72" s="344"/>
      <c r="E72" s="45"/>
      <c r="F72" s="53"/>
      <c r="G72" s="53"/>
      <c r="H72" s="53"/>
      <c r="I72" s="53"/>
      <c r="J72" s="169"/>
      <c r="K72" s="162"/>
      <c r="L72" s="166"/>
      <c r="M72" s="183" t="b">
        <v>0</v>
      </c>
      <c r="N72" s="478"/>
      <c r="O72" s="479"/>
      <c r="P72" s="479"/>
      <c r="Q72" s="480"/>
      <c r="R72" s="183" t="b">
        <v>0</v>
      </c>
      <c r="S72" s="53"/>
      <c r="T72" s="55"/>
      <c r="U72" s="56"/>
      <c r="V72" s="50">
        <f t="shared" si="0"/>
        <v>0</v>
      </c>
      <c r="Y72" s="51">
        <f t="shared" si="1"/>
        <v>0</v>
      </c>
      <c r="Z72" s="51">
        <f t="shared" si="2"/>
        <v>0</v>
      </c>
      <c r="AA72" s="51">
        <f t="shared" si="3"/>
        <v>0</v>
      </c>
      <c r="AB72" s="51" t="str">
        <f t="shared" si="4"/>
        <v/>
      </c>
      <c r="AC72" s="51" t="str">
        <f t="shared" si="4"/>
        <v/>
      </c>
    </row>
    <row r="73" spans="1:29" s="51" customFormat="1" ht="33.75" customHeight="1">
      <c r="A73" s="52">
        <v>52</v>
      </c>
      <c r="B73" s="342"/>
      <c r="C73" s="343"/>
      <c r="D73" s="344"/>
      <c r="E73" s="45"/>
      <c r="F73" s="53"/>
      <c r="G73" s="53"/>
      <c r="H73" s="53"/>
      <c r="I73" s="53"/>
      <c r="J73" s="169"/>
      <c r="K73" s="162"/>
      <c r="L73" s="166"/>
      <c r="M73" s="183" t="b">
        <v>0</v>
      </c>
      <c r="N73" s="478"/>
      <c r="O73" s="479"/>
      <c r="P73" s="479"/>
      <c r="Q73" s="480"/>
      <c r="R73" s="183" t="b">
        <v>0</v>
      </c>
      <c r="S73" s="53"/>
      <c r="T73" s="55"/>
      <c r="U73" s="56"/>
      <c r="V73" s="50">
        <f t="shared" si="0"/>
        <v>0</v>
      </c>
      <c r="Y73" s="51">
        <f t="shared" si="1"/>
        <v>0</v>
      </c>
      <c r="Z73" s="51">
        <f t="shared" si="2"/>
        <v>0</v>
      </c>
      <c r="AA73" s="51">
        <f t="shared" si="3"/>
        <v>0</v>
      </c>
      <c r="AB73" s="51" t="str">
        <f t="shared" si="4"/>
        <v/>
      </c>
      <c r="AC73" s="51" t="str">
        <f t="shared" si="4"/>
        <v/>
      </c>
    </row>
    <row r="74" spans="1:29" s="51" customFormat="1" ht="33.75" customHeight="1">
      <c r="A74" s="52">
        <v>53</v>
      </c>
      <c r="B74" s="342"/>
      <c r="C74" s="343"/>
      <c r="D74" s="344"/>
      <c r="E74" s="45"/>
      <c r="F74" s="53"/>
      <c r="G74" s="53"/>
      <c r="H74" s="53"/>
      <c r="I74" s="53"/>
      <c r="J74" s="169"/>
      <c r="K74" s="162"/>
      <c r="L74" s="166"/>
      <c r="M74" s="183" t="b">
        <v>0</v>
      </c>
      <c r="N74" s="478"/>
      <c r="O74" s="479"/>
      <c r="P74" s="479"/>
      <c r="Q74" s="480"/>
      <c r="R74" s="183" t="b">
        <v>0</v>
      </c>
      <c r="S74" s="53"/>
      <c r="T74" s="55"/>
      <c r="U74" s="56"/>
      <c r="V74" s="50">
        <f t="shared" si="0"/>
        <v>0</v>
      </c>
      <c r="Y74" s="51">
        <f t="shared" si="1"/>
        <v>0</v>
      </c>
      <c r="Z74" s="51">
        <f t="shared" si="2"/>
        <v>0</v>
      </c>
      <c r="AA74" s="51">
        <f t="shared" si="3"/>
        <v>0</v>
      </c>
      <c r="AB74" s="51" t="str">
        <f t="shared" si="4"/>
        <v/>
      </c>
      <c r="AC74" s="51" t="str">
        <f t="shared" si="4"/>
        <v/>
      </c>
    </row>
    <row r="75" spans="1:29" s="51" customFormat="1" ht="33.75" customHeight="1">
      <c r="A75" s="52">
        <v>54</v>
      </c>
      <c r="B75" s="342"/>
      <c r="C75" s="343"/>
      <c r="D75" s="344"/>
      <c r="E75" s="45"/>
      <c r="F75" s="53"/>
      <c r="G75" s="53"/>
      <c r="H75" s="53"/>
      <c r="I75" s="53"/>
      <c r="J75" s="169"/>
      <c r="K75" s="162"/>
      <c r="L75" s="166"/>
      <c r="M75" s="183" t="b">
        <v>0</v>
      </c>
      <c r="N75" s="478"/>
      <c r="O75" s="479"/>
      <c r="P75" s="479"/>
      <c r="Q75" s="480"/>
      <c r="R75" s="183" t="b">
        <v>0</v>
      </c>
      <c r="S75" s="53"/>
      <c r="T75" s="55"/>
      <c r="U75" s="56"/>
      <c r="V75" s="50">
        <f t="shared" si="0"/>
        <v>0</v>
      </c>
      <c r="Y75" s="51">
        <f t="shared" si="1"/>
        <v>0</v>
      </c>
      <c r="Z75" s="51">
        <f t="shared" si="2"/>
        <v>0</v>
      </c>
      <c r="AA75" s="51">
        <f t="shared" si="3"/>
        <v>0</v>
      </c>
      <c r="AB75" s="51" t="str">
        <f t="shared" si="4"/>
        <v/>
      </c>
      <c r="AC75" s="51" t="str">
        <f t="shared" si="4"/>
        <v/>
      </c>
    </row>
    <row r="76" spans="1:29" s="51" customFormat="1" ht="33.75" customHeight="1">
      <c r="A76" s="52">
        <v>55</v>
      </c>
      <c r="B76" s="342"/>
      <c r="C76" s="343"/>
      <c r="D76" s="344"/>
      <c r="E76" s="45"/>
      <c r="F76" s="53"/>
      <c r="G76" s="53"/>
      <c r="H76" s="53"/>
      <c r="I76" s="53"/>
      <c r="J76" s="169"/>
      <c r="K76" s="162"/>
      <c r="L76" s="166"/>
      <c r="M76" s="183" t="b">
        <v>0</v>
      </c>
      <c r="N76" s="478"/>
      <c r="O76" s="479"/>
      <c r="P76" s="479"/>
      <c r="Q76" s="480"/>
      <c r="R76" s="183" t="b">
        <v>0</v>
      </c>
      <c r="S76" s="53"/>
      <c r="T76" s="55"/>
      <c r="U76" s="56"/>
      <c r="V76" s="50">
        <f t="shared" si="0"/>
        <v>0</v>
      </c>
      <c r="Y76" s="51">
        <f t="shared" si="1"/>
        <v>0</v>
      </c>
      <c r="Z76" s="51">
        <f t="shared" si="2"/>
        <v>0</v>
      </c>
      <c r="AA76" s="51">
        <f t="shared" si="3"/>
        <v>0</v>
      </c>
      <c r="AB76" s="51" t="str">
        <f t="shared" si="4"/>
        <v/>
      </c>
      <c r="AC76" s="51" t="str">
        <f t="shared" si="4"/>
        <v/>
      </c>
    </row>
    <row r="77" spans="1:29" s="51" customFormat="1" ht="33.75" customHeight="1">
      <c r="A77" s="52">
        <v>56</v>
      </c>
      <c r="B77" s="342"/>
      <c r="C77" s="343"/>
      <c r="D77" s="344"/>
      <c r="E77" s="45"/>
      <c r="F77" s="53"/>
      <c r="G77" s="53"/>
      <c r="H77" s="53"/>
      <c r="I77" s="53"/>
      <c r="J77" s="169"/>
      <c r="K77" s="162"/>
      <c r="L77" s="166"/>
      <c r="M77" s="183" t="b">
        <v>0</v>
      </c>
      <c r="N77" s="478"/>
      <c r="O77" s="479"/>
      <c r="P77" s="479"/>
      <c r="Q77" s="480"/>
      <c r="R77" s="183" t="b">
        <v>0</v>
      </c>
      <c r="S77" s="53"/>
      <c r="T77" s="55"/>
      <c r="U77" s="56"/>
      <c r="V77" s="50">
        <f t="shared" si="0"/>
        <v>0</v>
      </c>
      <c r="Y77" s="51">
        <f t="shared" si="1"/>
        <v>0</v>
      </c>
      <c r="Z77" s="51">
        <f t="shared" si="2"/>
        <v>0</v>
      </c>
      <c r="AA77" s="51">
        <f t="shared" si="3"/>
        <v>0</v>
      </c>
      <c r="AB77" s="51" t="str">
        <f t="shared" si="4"/>
        <v/>
      </c>
      <c r="AC77" s="51" t="str">
        <f t="shared" si="4"/>
        <v/>
      </c>
    </row>
    <row r="78" spans="1:29" s="51" customFormat="1" ht="33.75" customHeight="1">
      <c r="A78" s="52">
        <v>57</v>
      </c>
      <c r="B78" s="342"/>
      <c r="C78" s="343"/>
      <c r="D78" s="344"/>
      <c r="E78" s="45"/>
      <c r="F78" s="53"/>
      <c r="G78" s="53"/>
      <c r="H78" s="53"/>
      <c r="I78" s="53"/>
      <c r="J78" s="169"/>
      <c r="K78" s="162"/>
      <c r="L78" s="166"/>
      <c r="M78" s="183" t="b">
        <v>0</v>
      </c>
      <c r="N78" s="478"/>
      <c r="O78" s="479"/>
      <c r="P78" s="479"/>
      <c r="Q78" s="480"/>
      <c r="R78" s="183" t="b">
        <v>0</v>
      </c>
      <c r="S78" s="53"/>
      <c r="T78" s="55"/>
      <c r="U78" s="56"/>
      <c r="V78" s="50">
        <f t="shared" si="0"/>
        <v>0</v>
      </c>
      <c r="Y78" s="51">
        <f t="shared" si="1"/>
        <v>0</v>
      </c>
      <c r="Z78" s="51">
        <f t="shared" si="2"/>
        <v>0</v>
      </c>
      <c r="AA78" s="51">
        <f t="shared" si="3"/>
        <v>0</v>
      </c>
      <c r="AB78" s="51" t="str">
        <f t="shared" si="4"/>
        <v/>
      </c>
      <c r="AC78" s="51" t="str">
        <f t="shared" si="4"/>
        <v/>
      </c>
    </row>
    <row r="79" spans="1:29" s="51" customFormat="1" ht="33.75" customHeight="1">
      <c r="A79" s="52">
        <v>58</v>
      </c>
      <c r="B79" s="342"/>
      <c r="C79" s="343"/>
      <c r="D79" s="344"/>
      <c r="E79" s="45"/>
      <c r="F79" s="53"/>
      <c r="G79" s="53"/>
      <c r="H79" s="53"/>
      <c r="I79" s="53"/>
      <c r="J79" s="169"/>
      <c r="K79" s="162"/>
      <c r="L79" s="166"/>
      <c r="M79" s="183" t="b">
        <v>0</v>
      </c>
      <c r="N79" s="478"/>
      <c r="O79" s="479"/>
      <c r="P79" s="479"/>
      <c r="Q79" s="480"/>
      <c r="R79" s="183" t="b">
        <v>0</v>
      </c>
      <c r="S79" s="53"/>
      <c r="T79" s="55"/>
      <c r="U79" s="56"/>
      <c r="V79" s="50">
        <f t="shared" si="0"/>
        <v>0</v>
      </c>
      <c r="Y79" s="51">
        <f t="shared" si="1"/>
        <v>0</v>
      </c>
      <c r="Z79" s="51">
        <f t="shared" si="2"/>
        <v>0</v>
      </c>
      <c r="AA79" s="51">
        <f t="shared" si="3"/>
        <v>0</v>
      </c>
      <c r="AB79" s="51" t="str">
        <f t="shared" si="4"/>
        <v/>
      </c>
      <c r="AC79" s="51" t="str">
        <f t="shared" si="4"/>
        <v/>
      </c>
    </row>
    <row r="80" spans="1:29" s="51" customFormat="1" ht="33.75" customHeight="1">
      <c r="A80" s="52">
        <v>59</v>
      </c>
      <c r="B80" s="342"/>
      <c r="C80" s="343"/>
      <c r="D80" s="344"/>
      <c r="E80" s="45"/>
      <c r="F80" s="53"/>
      <c r="G80" s="53"/>
      <c r="H80" s="53"/>
      <c r="I80" s="53"/>
      <c r="J80" s="169"/>
      <c r="K80" s="162"/>
      <c r="L80" s="166"/>
      <c r="M80" s="183" t="b">
        <v>0</v>
      </c>
      <c r="N80" s="478"/>
      <c r="O80" s="479"/>
      <c r="P80" s="479"/>
      <c r="Q80" s="480"/>
      <c r="R80" s="183" t="b">
        <v>0</v>
      </c>
      <c r="S80" s="53"/>
      <c r="T80" s="55"/>
      <c r="U80" s="56"/>
      <c r="V80" s="50">
        <f t="shared" si="0"/>
        <v>0</v>
      </c>
      <c r="Y80" s="51">
        <f t="shared" si="1"/>
        <v>0</v>
      </c>
      <c r="Z80" s="51">
        <f t="shared" si="2"/>
        <v>0</v>
      </c>
      <c r="AA80" s="51">
        <f t="shared" si="3"/>
        <v>0</v>
      </c>
      <c r="AB80" s="51" t="str">
        <f t="shared" si="4"/>
        <v/>
      </c>
      <c r="AC80" s="51" t="str">
        <f t="shared" si="4"/>
        <v/>
      </c>
    </row>
    <row r="81" spans="1:29" s="51" customFormat="1" ht="33.75" customHeight="1">
      <c r="A81" s="52">
        <v>60</v>
      </c>
      <c r="B81" s="342"/>
      <c r="C81" s="343"/>
      <c r="D81" s="344"/>
      <c r="E81" s="45"/>
      <c r="F81" s="53"/>
      <c r="G81" s="53"/>
      <c r="H81" s="53"/>
      <c r="I81" s="53"/>
      <c r="J81" s="169"/>
      <c r="K81" s="162"/>
      <c r="L81" s="166"/>
      <c r="M81" s="183" t="b">
        <v>0</v>
      </c>
      <c r="N81" s="478"/>
      <c r="O81" s="479"/>
      <c r="P81" s="479"/>
      <c r="Q81" s="480"/>
      <c r="R81" s="183" t="b">
        <v>0</v>
      </c>
      <c r="S81" s="53"/>
      <c r="T81" s="55"/>
      <c r="U81" s="56"/>
      <c r="V81" s="50">
        <f t="shared" si="0"/>
        <v>0</v>
      </c>
      <c r="Y81" s="51">
        <f t="shared" si="1"/>
        <v>0</v>
      </c>
      <c r="Z81" s="51">
        <f t="shared" si="2"/>
        <v>0</v>
      </c>
      <c r="AA81" s="51">
        <f t="shared" si="3"/>
        <v>0</v>
      </c>
      <c r="AB81" s="51" t="str">
        <f t="shared" si="4"/>
        <v/>
      </c>
      <c r="AC81" s="51" t="str">
        <f t="shared" si="4"/>
        <v/>
      </c>
    </row>
    <row r="82" spans="1:29" s="51" customFormat="1" ht="33.75" customHeight="1">
      <c r="A82" s="52">
        <v>61</v>
      </c>
      <c r="B82" s="342"/>
      <c r="C82" s="343"/>
      <c r="D82" s="344"/>
      <c r="E82" s="45"/>
      <c r="F82" s="53"/>
      <c r="G82" s="53"/>
      <c r="H82" s="53"/>
      <c r="I82" s="53"/>
      <c r="J82" s="169"/>
      <c r="K82" s="162"/>
      <c r="L82" s="166"/>
      <c r="M82" s="183" t="b">
        <v>0</v>
      </c>
      <c r="N82" s="478"/>
      <c r="O82" s="479"/>
      <c r="P82" s="479"/>
      <c r="Q82" s="480"/>
      <c r="R82" s="183" t="b">
        <v>0</v>
      </c>
      <c r="S82" s="53"/>
      <c r="T82" s="55"/>
      <c r="U82" s="56"/>
      <c r="V82" s="50">
        <f t="shared" si="0"/>
        <v>0</v>
      </c>
      <c r="Y82" s="51">
        <f t="shared" si="1"/>
        <v>0</v>
      </c>
      <c r="Z82" s="51">
        <f t="shared" si="2"/>
        <v>0</v>
      </c>
      <c r="AA82" s="51">
        <f t="shared" si="3"/>
        <v>0</v>
      </c>
      <c r="AB82" s="51" t="str">
        <f t="shared" si="4"/>
        <v/>
      </c>
      <c r="AC82" s="51" t="str">
        <f t="shared" si="4"/>
        <v/>
      </c>
    </row>
    <row r="83" spans="1:29" s="51" customFormat="1" ht="33.75" customHeight="1">
      <c r="A83" s="52">
        <v>62</v>
      </c>
      <c r="B83" s="342"/>
      <c r="C83" s="343"/>
      <c r="D83" s="344"/>
      <c r="E83" s="45"/>
      <c r="F83" s="53"/>
      <c r="G83" s="53"/>
      <c r="H83" s="53"/>
      <c r="I83" s="53"/>
      <c r="J83" s="169"/>
      <c r="K83" s="162"/>
      <c r="L83" s="166"/>
      <c r="M83" s="183" t="b">
        <v>0</v>
      </c>
      <c r="N83" s="478"/>
      <c r="O83" s="479"/>
      <c r="P83" s="479"/>
      <c r="Q83" s="480"/>
      <c r="R83" s="183" t="b">
        <v>0</v>
      </c>
      <c r="S83" s="53"/>
      <c r="T83" s="55"/>
      <c r="U83" s="56"/>
      <c r="V83" s="50">
        <f t="shared" si="0"/>
        <v>0</v>
      </c>
      <c r="Y83" s="51">
        <f t="shared" si="1"/>
        <v>0</v>
      </c>
      <c r="Z83" s="51">
        <f t="shared" si="2"/>
        <v>0</v>
      </c>
      <c r="AA83" s="51">
        <f t="shared" si="3"/>
        <v>0</v>
      </c>
      <c r="AB83" s="51" t="str">
        <f t="shared" si="4"/>
        <v/>
      </c>
      <c r="AC83" s="51" t="str">
        <f t="shared" si="4"/>
        <v/>
      </c>
    </row>
    <row r="84" spans="1:29" s="51" customFormat="1" ht="33.75" customHeight="1">
      <c r="A84" s="52">
        <v>63</v>
      </c>
      <c r="B84" s="342"/>
      <c r="C84" s="343"/>
      <c r="D84" s="344"/>
      <c r="E84" s="45"/>
      <c r="F84" s="53"/>
      <c r="G84" s="53"/>
      <c r="H84" s="53"/>
      <c r="I84" s="53"/>
      <c r="J84" s="169"/>
      <c r="K84" s="162"/>
      <c r="L84" s="166"/>
      <c r="M84" s="183" t="b">
        <v>0</v>
      </c>
      <c r="N84" s="478"/>
      <c r="O84" s="479"/>
      <c r="P84" s="479"/>
      <c r="Q84" s="480"/>
      <c r="R84" s="183" t="b">
        <v>0</v>
      </c>
      <c r="S84" s="53"/>
      <c r="T84" s="55"/>
      <c r="U84" s="56"/>
      <c r="V84" s="50">
        <f t="shared" si="0"/>
        <v>0</v>
      </c>
      <c r="Y84" s="51">
        <f t="shared" si="1"/>
        <v>0</v>
      </c>
      <c r="Z84" s="51">
        <f t="shared" si="2"/>
        <v>0</v>
      </c>
      <c r="AA84" s="51">
        <f t="shared" si="3"/>
        <v>0</v>
      </c>
      <c r="AB84" s="51" t="str">
        <f t="shared" si="4"/>
        <v/>
      </c>
      <c r="AC84" s="51" t="str">
        <f t="shared" si="4"/>
        <v/>
      </c>
    </row>
    <row r="85" spans="1:29" s="51" customFormat="1" ht="33.75" customHeight="1">
      <c r="A85" s="52">
        <v>64</v>
      </c>
      <c r="B85" s="342"/>
      <c r="C85" s="343"/>
      <c r="D85" s="344"/>
      <c r="E85" s="45"/>
      <c r="F85" s="53"/>
      <c r="G85" s="53"/>
      <c r="H85" s="53"/>
      <c r="I85" s="53"/>
      <c r="J85" s="169"/>
      <c r="K85" s="162"/>
      <c r="L85" s="166"/>
      <c r="M85" s="183" t="b">
        <v>0</v>
      </c>
      <c r="N85" s="478"/>
      <c r="O85" s="479"/>
      <c r="P85" s="479"/>
      <c r="Q85" s="480"/>
      <c r="R85" s="183" t="b">
        <v>0</v>
      </c>
      <c r="S85" s="53"/>
      <c r="T85" s="55"/>
      <c r="U85" s="56"/>
      <c r="V85" s="50">
        <f t="shared" si="0"/>
        <v>0</v>
      </c>
      <c r="Y85" s="51">
        <f t="shared" si="1"/>
        <v>0</v>
      </c>
      <c r="Z85" s="51">
        <f t="shared" si="2"/>
        <v>0</v>
      </c>
      <c r="AA85" s="51">
        <f t="shared" si="3"/>
        <v>0</v>
      </c>
      <c r="AB85" s="51" t="str">
        <f t="shared" si="4"/>
        <v/>
      </c>
      <c r="AC85" s="51" t="str">
        <f t="shared" si="4"/>
        <v/>
      </c>
    </row>
    <row r="86" spans="1:29" s="51" customFormat="1" ht="33.75" customHeight="1">
      <c r="A86" s="52">
        <v>65</v>
      </c>
      <c r="B86" s="342"/>
      <c r="C86" s="343"/>
      <c r="D86" s="344"/>
      <c r="E86" s="45"/>
      <c r="F86" s="53"/>
      <c r="G86" s="53"/>
      <c r="H86" s="53"/>
      <c r="I86" s="53"/>
      <c r="J86" s="169"/>
      <c r="K86" s="162"/>
      <c r="L86" s="166"/>
      <c r="M86" s="183" t="b">
        <v>0</v>
      </c>
      <c r="N86" s="478"/>
      <c r="O86" s="479"/>
      <c r="P86" s="479"/>
      <c r="Q86" s="480"/>
      <c r="R86" s="183" t="b">
        <v>0</v>
      </c>
      <c r="S86" s="53"/>
      <c r="T86" s="55"/>
      <c r="U86" s="56"/>
      <c r="V86" s="50">
        <f t="shared" ref="V86:V149" si="5">MAX(F86:I86)</f>
        <v>0</v>
      </c>
      <c r="Y86" s="51">
        <f t="shared" si="1"/>
        <v>0</v>
      </c>
      <c r="Z86" s="51">
        <f t="shared" si="2"/>
        <v>0</v>
      </c>
      <c r="AA86" s="51">
        <f t="shared" si="3"/>
        <v>0</v>
      </c>
      <c r="AB86" s="51" t="str">
        <f t="shared" si="4"/>
        <v/>
      </c>
      <c r="AC86" s="51" t="str">
        <f t="shared" ref="AC86" si="6">IF(I86="","",IF($E86="男",1,IF($E86="女",2,"")))</f>
        <v/>
      </c>
    </row>
    <row r="87" spans="1:29" s="51" customFormat="1" ht="33.75" customHeight="1">
      <c r="A87" s="52">
        <v>66</v>
      </c>
      <c r="B87" s="342"/>
      <c r="C87" s="343"/>
      <c r="D87" s="344"/>
      <c r="E87" s="45"/>
      <c r="F87" s="53"/>
      <c r="G87" s="53"/>
      <c r="H87" s="53"/>
      <c r="I87" s="53"/>
      <c r="J87" s="169"/>
      <c r="K87" s="162"/>
      <c r="L87" s="166"/>
      <c r="M87" s="183" t="b">
        <v>0</v>
      </c>
      <c r="N87" s="478"/>
      <c r="O87" s="479"/>
      <c r="P87" s="479"/>
      <c r="Q87" s="480"/>
      <c r="R87" s="183" t="b">
        <v>0</v>
      </c>
      <c r="S87" s="53"/>
      <c r="T87" s="55"/>
      <c r="U87" s="56"/>
      <c r="V87" s="50">
        <f t="shared" si="5"/>
        <v>0</v>
      </c>
      <c r="Y87" s="51">
        <f t="shared" ref="Y87:Y150" si="7">MAX(F87:I87)</f>
        <v>0</v>
      </c>
      <c r="Z87" s="51">
        <f t="shared" ref="Z87:Z150" si="8">COUNTA(F87:I87)</f>
        <v>0</v>
      </c>
      <c r="AA87" s="51">
        <f t="shared" ref="AA87:AA150" si="9">COUNTA($J87)</f>
        <v>0</v>
      </c>
      <c r="AB87" s="51" t="str">
        <f t="shared" ref="AB87:AC150" si="10">IF(H87="","",IF($E87="男",1,IF($E87="女",2,"")))</f>
        <v/>
      </c>
      <c r="AC87" s="51" t="str">
        <f t="shared" si="10"/>
        <v/>
      </c>
    </row>
    <row r="88" spans="1:29" s="51" customFormat="1" ht="33.75" customHeight="1">
      <c r="A88" s="52">
        <v>67</v>
      </c>
      <c r="B88" s="342"/>
      <c r="C88" s="343"/>
      <c r="D88" s="344"/>
      <c r="E88" s="45"/>
      <c r="F88" s="53"/>
      <c r="G88" s="53"/>
      <c r="H88" s="53"/>
      <c r="I88" s="53"/>
      <c r="J88" s="169"/>
      <c r="K88" s="162"/>
      <c r="L88" s="166"/>
      <c r="M88" s="183" t="b">
        <v>0</v>
      </c>
      <c r="N88" s="478"/>
      <c r="O88" s="479"/>
      <c r="P88" s="479"/>
      <c r="Q88" s="480"/>
      <c r="R88" s="183" t="b">
        <v>0</v>
      </c>
      <c r="S88" s="53"/>
      <c r="T88" s="55"/>
      <c r="U88" s="56"/>
      <c r="V88" s="50">
        <f t="shared" si="5"/>
        <v>0</v>
      </c>
      <c r="Y88" s="51">
        <f t="shared" si="7"/>
        <v>0</v>
      </c>
      <c r="Z88" s="51">
        <f t="shared" si="8"/>
        <v>0</v>
      </c>
      <c r="AA88" s="51">
        <f t="shared" si="9"/>
        <v>0</v>
      </c>
      <c r="AB88" s="51" t="str">
        <f t="shared" si="10"/>
        <v/>
      </c>
      <c r="AC88" s="51" t="str">
        <f t="shared" si="10"/>
        <v/>
      </c>
    </row>
    <row r="89" spans="1:29" s="51" customFormat="1" ht="33.75" customHeight="1">
      <c r="A89" s="52">
        <v>68</v>
      </c>
      <c r="B89" s="342"/>
      <c r="C89" s="343"/>
      <c r="D89" s="344"/>
      <c r="E89" s="45"/>
      <c r="F89" s="53"/>
      <c r="G89" s="53"/>
      <c r="H89" s="53"/>
      <c r="I89" s="53"/>
      <c r="J89" s="169"/>
      <c r="K89" s="162"/>
      <c r="L89" s="166"/>
      <c r="M89" s="183" t="b">
        <v>0</v>
      </c>
      <c r="N89" s="478"/>
      <c r="O89" s="479"/>
      <c r="P89" s="479"/>
      <c r="Q89" s="480"/>
      <c r="R89" s="183" t="b">
        <v>0</v>
      </c>
      <c r="S89" s="53"/>
      <c r="T89" s="55"/>
      <c r="U89" s="56"/>
      <c r="V89" s="50">
        <f t="shared" si="5"/>
        <v>0</v>
      </c>
      <c r="Y89" s="51">
        <f t="shared" si="7"/>
        <v>0</v>
      </c>
      <c r="Z89" s="51">
        <f t="shared" si="8"/>
        <v>0</v>
      </c>
      <c r="AA89" s="51">
        <f t="shared" si="9"/>
        <v>0</v>
      </c>
      <c r="AB89" s="51" t="str">
        <f t="shared" si="10"/>
        <v/>
      </c>
      <c r="AC89" s="51" t="str">
        <f t="shared" si="10"/>
        <v/>
      </c>
    </row>
    <row r="90" spans="1:29" s="51" customFormat="1" ht="33.75" customHeight="1">
      <c r="A90" s="52">
        <v>69</v>
      </c>
      <c r="B90" s="342"/>
      <c r="C90" s="343"/>
      <c r="D90" s="344"/>
      <c r="E90" s="45"/>
      <c r="F90" s="53"/>
      <c r="G90" s="53"/>
      <c r="H90" s="53"/>
      <c r="I90" s="53"/>
      <c r="J90" s="169"/>
      <c r="K90" s="162"/>
      <c r="L90" s="166"/>
      <c r="M90" s="183" t="b">
        <v>0</v>
      </c>
      <c r="N90" s="478"/>
      <c r="O90" s="479"/>
      <c r="P90" s="479"/>
      <c r="Q90" s="480"/>
      <c r="R90" s="183" t="b">
        <v>0</v>
      </c>
      <c r="S90" s="53"/>
      <c r="T90" s="55"/>
      <c r="U90" s="56"/>
      <c r="V90" s="50">
        <f t="shared" si="5"/>
        <v>0</v>
      </c>
      <c r="Y90" s="51">
        <f t="shared" si="7"/>
        <v>0</v>
      </c>
      <c r="Z90" s="51">
        <f t="shared" si="8"/>
        <v>0</v>
      </c>
      <c r="AA90" s="51">
        <f t="shared" si="9"/>
        <v>0</v>
      </c>
      <c r="AB90" s="51" t="str">
        <f t="shared" si="10"/>
        <v/>
      </c>
      <c r="AC90" s="51" t="str">
        <f t="shared" si="10"/>
        <v/>
      </c>
    </row>
    <row r="91" spans="1:29" s="51" customFormat="1" ht="33.75" customHeight="1">
      <c r="A91" s="52">
        <v>70</v>
      </c>
      <c r="B91" s="342"/>
      <c r="C91" s="343"/>
      <c r="D91" s="344"/>
      <c r="E91" s="45"/>
      <c r="F91" s="53"/>
      <c r="G91" s="53"/>
      <c r="H91" s="53"/>
      <c r="I91" s="53"/>
      <c r="J91" s="169"/>
      <c r="K91" s="162"/>
      <c r="L91" s="166"/>
      <c r="M91" s="183" t="b">
        <v>0</v>
      </c>
      <c r="N91" s="478"/>
      <c r="O91" s="479"/>
      <c r="P91" s="479"/>
      <c r="Q91" s="480"/>
      <c r="R91" s="183" t="b">
        <v>0</v>
      </c>
      <c r="S91" s="53"/>
      <c r="T91" s="55"/>
      <c r="U91" s="56"/>
      <c r="V91" s="50">
        <f t="shared" si="5"/>
        <v>0</v>
      </c>
      <c r="Y91" s="51">
        <f t="shared" si="7"/>
        <v>0</v>
      </c>
      <c r="Z91" s="51">
        <f t="shared" si="8"/>
        <v>0</v>
      </c>
      <c r="AA91" s="51">
        <f t="shared" si="9"/>
        <v>0</v>
      </c>
      <c r="AB91" s="51" t="str">
        <f t="shared" si="10"/>
        <v/>
      </c>
      <c r="AC91" s="51" t="str">
        <f t="shared" si="10"/>
        <v/>
      </c>
    </row>
    <row r="92" spans="1:29" s="51" customFormat="1" ht="33.75" customHeight="1">
      <c r="A92" s="52">
        <v>71</v>
      </c>
      <c r="B92" s="342"/>
      <c r="C92" s="343"/>
      <c r="D92" s="344"/>
      <c r="E92" s="45"/>
      <c r="F92" s="53"/>
      <c r="G92" s="53"/>
      <c r="H92" s="53"/>
      <c r="I92" s="53"/>
      <c r="J92" s="169"/>
      <c r="K92" s="162"/>
      <c r="L92" s="166"/>
      <c r="M92" s="183" t="b">
        <v>0</v>
      </c>
      <c r="N92" s="478"/>
      <c r="O92" s="479"/>
      <c r="P92" s="479"/>
      <c r="Q92" s="480"/>
      <c r="R92" s="183" t="b">
        <v>0</v>
      </c>
      <c r="S92" s="53"/>
      <c r="T92" s="55"/>
      <c r="U92" s="56"/>
      <c r="V92" s="50">
        <f t="shared" si="5"/>
        <v>0</v>
      </c>
      <c r="Y92" s="51">
        <f t="shared" si="7"/>
        <v>0</v>
      </c>
      <c r="Z92" s="51">
        <f t="shared" si="8"/>
        <v>0</v>
      </c>
      <c r="AA92" s="51">
        <f t="shared" si="9"/>
        <v>0</v>
      </c>
      <c r="AB92" s="51" t="str">
        <f t="shared" si="10"/>
        <v/>
      </c>
      <c r="AC92" s="51" t="str">
        <f t="shared" si="10"/>
        <v/>
      </c>
    </row>
    <row r="93" spans="1:29" s="51" customFormat="1" ht="33.75" customHeight="1">
      <c r="A93" s="52">
        <v>72</v>
      </c>
      <c r="B93" s="342"/>
      <c r="C93" s="343"/>
      <c r="D93" s="344"/>
      <c r="E93" s="45"/>
      <c r="F93" s="53"/>
      <c r="G93" s="53"/>
      <c r="H93" s="53"/>
      <c r="I93" s="53"/>
      <c r="J93" s="169"/>
      <c r="K93" s="162"/>
      <c r="L93" s="166"/>
      <c r="M93" s="183" t="b">
        <v>0</v>
      </c>
      <c r="N93" s="478"/>
      <c r="O93" s="479"/>
      <c r="P93" s="479"/>
      <c r="Q93" s="480"/>
      <c r="R93" s="183" t="b">
        <v>0</v>
      </c>
      <c r="S93" s="53"/>
      <c r="T93" s="55"/>
      <c r="U93" s="56"/>
      <c r="V93" s="50">
        <f t="shared" si="5"/>
        <v>0</v>
      </c>
      <c r="Y93" s="51">
        <f t="shared" si="7"/>
        <v>0</v>
      </c>
      <c r="Z93" s="51">
        <f t="shared" si="8"/>
        <v>0</v>
      </c>
      <c r="AA93" s="51">
        <f t="shared" si="9"/>
        <v>0</v>
      </c>
      <c r="AB93" s="51" t="str">
        <f t="shared" si="10"/>
        <v/>
      </c>
      <c r="AC93" s="51" t="str">
        <f t="shared" si="10"/>
        <v/>
      </c>
    </row>
    <row r="94" spans="1:29" s="51" customFormat="1" ht="33.75" customHeight="1">
      <c r="A94" s="52">
        <v>73</v>
      </c>
      <c r="B94" s="342"/>
      <c r="C94" s="343"/>
      <c r="D94" s="344"/>
      <c r="E94" s="45"/>
      <c r="F94" s="53"/>
      <c r="G94" s="53"/>
      <c r="H94" s="53"/>
      <c r="I94" s="53"/>
      <c r="J94" s="169"/>
      <c r="K94" s="162"/>
      <c r="L94" s="166"/>
      <c r="M94" s="183" t="b">
        <v>0</v>
      </c>
      <c r="N94" s="478"/>
      <c r="O94" s="479"/>
      <c r="P94" s="479"/>
      <c r="Q94" s="480"/>
      <c r="R94" s="183" t="b">
        <v>0</v>
      </c>
      <c r="S94" s="53"/>
      <c r="T94" s="55"/>
      <c r="U94" s="56"/>
      <c r="V94" s="50">
        <f t="shared" si="5"/>
        <v>0</v>
      </c>
      <c r="Y94" s="51">
        <f t="shared" si="7"/>
        <v>0</v>
      </c>
      <c r="Z94" s="51">
        <f t="shared" si="8"/>
        <v>0</v>
      </c>
      <c r="AA94" s="51">
        <f t="shared" si="9"/>
        <v>0</v>
      </c>
      <c r="AB94" s="51" t="str">
        <f t="shared" si="10"/>
        <v/>
      </c>
      <c r="AC94" s="51" t="str">
        <f t="shared" si="10"/>
        <v/>
      </c>
    </row>
    <row r="95" spans="1:29" s="51" customFormat="1" ht="33.75" customHeight="1">
      <c r="A95" s="52">
        <v>74</v>
      </c>
      <c r="B95" s="342"/>
      <c r="C95" s="343"/>
      <c r="D95" s="344"/>
      <c r="E95" s="45"/>
      <c r="F95" s="53"/>
      <c r="G95" s="53"/>
      <c r="H95" s="53"/>
      <c r="I95" s="53"/>
      <c r="J95" s="169"/>
      <c r="K95" s="162"/>
      <c r="L95" s="166"/>
      <c r="M95" s="183" t="b">
        <v>0</v>
      </c>
      <c r="N95" s="478"/>
      <c r="O95" s="479"/>
      <c r="P95" s="479"/>
      <c r="Q95" s="480"/>
      <c r="R95" s="183" t="b">
        <v>0</v>
      </c>
      <c r="S95" s="53"/>
      <c r="T95" s="55"/>
      <c r="U95" s="56"/>
      <c r="V95" s="50">
        <f t="shared" si="5"/>
        <v>0</v>
      </c>
      <c r="Y95" s="51">
        <f t="shared" si="7"/>
        <v>0</v>
      </c>
      <c r="Z95" s="51">
        <f t="shared" si="8"/>
        <v>0</v>
      </c>
      <c r="AA95" s="51">
        <f t="shared" si="9"/>
        <v>0</v>
      </c>
      <c r="AB95" s="51" t="str">
        <f t="shared" si="10"/>
        <v/>
      </c>
      <c r="AC95" s="51" t="str">
        <f t="shared" si="10"/>
        <v/>
      </c>
    </row>
    <row r="96" spans="1:29" s="51" customFormat="1" ht="33.75" customHeight="1">
      <c r="A96" s="52">
        <v>75</v>
      </c>
      <c r="B96" s="342"/>
      <c r="C96" s="343"/>
      <c r="D96" s="344"/>
      <c r="E96" s="45"/>
      <c r="F96" s="53"/>
      <c r="G96" s="53"/>
      <c r="H96" s="53"/>
      <c r="I96" s="53"/>
      <c r="J96" s="169"/>
      <c r="K96" s="162"/>
      <c r="L96" s="166"/>
      <c r="M96" s="183" t="b">
        <v>0</v>
      </c>
      <c r="N96" s="478"/>
      <c r="O96" s="479"/>
      <c r="P96" s="479"/>
      <c r="Q96" s="480"/>
      <c r="R96" s="183" t="b">
        <v>0</v>
      </c>
      <c r="S96" s="53"/>
      <c r="T96" s="55"/>
      <c r="U96" s="56"/>
      <c r="V96" s="50">
        <f t="shared" si="5"/>
        <v>0</v>
      </c>
      <c r="Y96" s="51">
        <f t="shared" si="7"/>
        <v>0</v>
      </c>
      <c r="Z96" s="51">
        <f t="shared" si="8"/>
        <v>0</v>
      </c>
      <c r="AA96" s="51">
        <f t="shared" si="9"/>
        <v>0</v>
      </c>
      <c r="AB96" s="51" t="str">
        <f t="shared" si="10"/>
        <v/>
      </c>
      <c r="AC96" s="51" t="str">
        <f t="shared" si="10"/>
        <v/>
      </c>
    </row>
    <row r="97" spans="1:29" s="51" customFormat="1" ht="33.75" customHeight="1">
      <c r="A97" s="52">
        <v>76</v>
      </c>
      <c r="B97" s="342"/>
      <c r="C97" s="343"/>
      <c r="D97" s="344"/>
      <c r="E97" s="45"/>
      <c r="F97" s="53"/>
      <c r="G97" s="53"/>
      <c r="H97" s="53"/>
      <c r="I97" s="53"/>
      <c r="J97" s="169"/>
      <c r="K97" s="162"/>
      <c r="L97" s="166"/>
      <c r="M97" s="183" t="b">
        <v>0</v>
      </c>
      <c r="N97" s="478"/>
      <c r="O97" s="479"/>
      <c r="P97" s="479"/>
      <c r="Q97" s="480"/>
      <c r="R97" s="183" t="b">
        <v>0</v>
      </c>
      <c r="S97" s="53"/>
      <c r="T97" s="55"/>
      <c r="U97" s="56"/>
      <c r="V97" s="50">
        <f t="shared" si="5"/>
        <v>0</v>
      </c>
      <c r="Y97" s="51">
        <f t="shared" si="7"/>
        <v>0</v>
      </c>
      <c r="Z97" s="51">
        <f t="shared" si="8"/>
        <v>0</v>
      </c>
      <c r="AA97" s="51">
        <f t="shared" si="9"/>
        <v>0</v>
      </c>
      <c r="AB97" s="51" t="str">
        <f t="shared" si="10"/>
        <v/>
      </c>
      <c r="AC97" s="51" t="str">
        <f t="shared" si="10"/>
        <v/>
      </c>
    </row>
    <row r="98" spans="1:29" s="51" customFormat="1" ht="33.75" customHeight="1">
      <c r="A98" s="52">
        <v>77</v>
      </c>
      <c r="B98" s="342"/>
      <c r="C98" s="343"/>
      <c r="D98" s="344"/>
      <c r="E98" s="45"/>
      <c r="F98" s="53"/>
      <c r="G98" s="53"/>
      <c r="H98" s="53"/>
      <c r="I98" s="53"/>
      <c r="J98" s="169"/>
      <c r="K98" s="162"/>
      <c r="L98" s="166"/>
      <c r="M98" s="183" t="b">
        <v>0</v>
      </c>
      <c r="N98" s="478"/>
      <c r="O98" s="479"/>
      <c r="P98" s="479"/>
      <c r="Q98" s="480"/>
      <c r="R98" s="183" t="b">
        <v>0</v>
      </c>
      <c r="S98" s="53"/>
      <c r="T98" s="55"/>
      <c r="U98" s="56"/>
      <c r="V98" s="50">
        <f t="shared" si="5"/>
        <v>0</v>
      </c>
      <c r="Y98" s="51">
        <f t="shared" si="7"/>
        <v>0</v>
      </c>
      <c r="Z98" s="51">
        <f t="shared" si="8"/>
        <v>0</v>
      </c>
      <c r="AA98" s="51">
        <f t="shared" si="9"/>
        <v>0</v>
      </c>
      <c r="AB98" s="51" t="str">
        <f t="shared" si="10"/>
        <v/>
      </c>
      <c r="AC98" s="51" t="str">
        <f t="shared" si="10"/>
        <v/>
      </c>
    </row>
    <row r="99" spans="1:29" s="51" customFormat="1" ht="33.75" customHeight="1">
      <c r="A99" s="52">
        <v>78</v>
      </c>
      <c r="B99" s="342"/>
      <c r="C99" s="343"/>
      <c r="D99" s="344"/>
      <c r="E99" s="45"/>
      <c r="F99" s="53"/>
      <c r="G99" s="53"/>
      <c r="H99" s="53"/>
      <c r="I99" s="53"/>
      <c r="J99" s="169"/>
      <c r="K99" s="162"/>
      <c r="L99" s="166"/>
      <c r="M99" s="183" t="b">
        <v>0</v>
      </c>
      <c r="N99" s="478"/>
      <c r="O99" s="479"/>
      <c r="P99" s="479"/>
      <c r="Q99" s="480"/>
      <c r="R99" s="183" t="b">
        <v>0</v>
      </c>
      <c r="S99" s="53"/>
      <c r="T99" s="55"/>
      <c r="U99" s="56"/>
      <c r="V99" s="50">
        <f t="shared" si="5"/>
        <v>0</v>
      </c>
      <c r="Y99" s="51">
        <f t="shared" si="7"/>
        <v>0</v>
      </c>
      <c r="Z99" s="51">
        <f t="shared" si="8"/>
        <v>0</v>
      </c>
      <c r="AA99" s="51">
        <f t="shared" si="9"/>
        <v>0</v>
      </c>
      <c r="AB99" s="51" t="str">
        <f t="shared" si="10"/>
        <v/>
      </c>
      <c r="AC99" s="51" t="str">
        <f t="shared" si="10"/>
        <v/>
      </c>
    </row>
    <row r="100" spans="1:29" s="51" customFormat="1" ht="33.75" customHeight="1">
      <c r="A100" s="52">
        <v>79</v>
      </c>
      <c r="B100" s="342"/>
      <c r="C100" s="343"/>
      <c r="D100" s="344"/>
      <c r="E100" s="45"/>
      <c r="F100" s="53"/>
      <c r="G100" s="53"/>
      <c r="H100" s="53"/>
      <c r="I100" s="53"/>
      <c r="J100" s="169"/>
      <c r="K100" s="162"/>
      <c r="L100" s="166"/>
      <c r="M100" s="183" t="b">
        <v>0</v>
      </c>
      <c r="N100" s="478"/>
      <c r="O100" s="479"/>
      <c r="P100" s="479"/>
      <c r="Q100" s="480"/>
      <c r="R100" s="183" t="b">
        <v>0</v>
      </c>
      <c r="S100" s="53"/>
      <c r="T100" s="55"/>
      <c r="U100" s="56"/>
      <c r="V100" s="50">
        <f t="shared" si="5"/>
        <v>0</v>
      </c>
      <c r="Y100" s="51">
        <f t="shared" si="7"/>
        <v>0</v>
      </c>
      <c r="Z100" s="51">
        <f t="shared" si="8"/>
        <v>0</v>
      </c>
      <c r="AA100" s="51">
        <f t="shared" si="9"/>
        <v>0</v>
      </c>
      <c r="AB100" s="51" t="str">
        <f t="shared" si="10"/>
        <v/>
      </c>
      <c r="AC100" s="51" t="str">
        <f t="shared" si="10"/>
        <v/>
      </c>
    </row>
    <row r="101" spans="1:29" s="51" customFormat="1" ht="33.75" customHeight="1">
      <c r="A101" s="52">
        <v>80</v>
      </c>
      <c r="B101" s="342"/>
      <c r="C101" s="343"/>
      <c r="D101" s="344"/>
      <c r="E101" s="45"/>
      <c r="F101" s="53"/>
      <c r="G101" s="53"/>
      <c r="H101" s="53"/>
      <c r="I101" s="53"/>
      <c r="J101" s="169"/>
      <c r="K101" s="162"/>
      <c r="L101" s="166"/>
      <c r="M101" s="183" t="b">
        <v>0</v>
      </c>
      <c r="N101" s="478"/>
      <c r="O101" s="479"/>
      <c r="P101" s="479"/>
      <c r="Q101" s="480"/>
      <c r="R101" s="183" t="b">
        <v>0</v>
      </c>
      <c r="S101" s="53"/>
      <c r="T101" s="55"/>
      <c r="U101" s="56"/>
      <c r="V101" s="50">
        <f t="shared" si="5"/>
        <v>0</v>
      </c>
      <c r="Y101" s="51">
        <f t="shared" si="7"/>
        <v>0</v>
      </c>
      <c r="Z101" s="51">
        <f t="shared" si="8"/>
        <v>0</v>
      </c>
      <c r="AA101" s="51">
        <f t="shared" si="9"/>
        <v>0</v>
      </c>
      <c r="AB101" s="51" t="str">
        <f t="shared" si="10"/>
        <v/>
      </c>
      <c r="AC101" s="51" t="str">
        <f t="shared" si="10"/>
        <v/>
      </c>
    </row>
    <row r="102" spans="1:29" s="51" customFormat="1" ht="33.75" customHeight="1">
      <c r="A102" s="52">
        <v>81</v>
      </c>
      <c r="B102" s="342"/>
      <c r="C102" s="343"/>
      <c r="D102" s="344"/>
      <c r="E102" s="45"/>
      <c r="F102" s="53"/>
      <c r="G102" s="53"/>
      <c r="H102" s="53"/>
      <c r="I102" s="53"/>
      <c r="J102" s="169"/>
      <c r="K102" s="162"/>
      <c r="L102" s="166"/>
      <c r="M102" s="183" t="b">
        <v>0</v>
      </c>
      <c r="N102" s="478"/>
      <c r="O102" s="479"/>
      <c r="P102" s="479"/>
      <c r="Q102" s="480"/>
      <c r="R102" s="183" t="b">
        <v>0</v>
      </c>
      <c r="S102" s="53"/>
      <c r="T102" s="55"/>
      <c r="U102" s="56"/>
      <c r="V102" s="50">
        <f t="shared" si="5"/>
        <v>0</v>
      </c>
      <c r="Y102" s="51">
        <f t="shared" si="7"/>
        <v>0</v>
      </c>
      <c r="Z102" s="51">
        <f t="shared" si="8"/>
        <v>0</v>
      </c>
      <c r="AA102" s="51">
        <f t="shared" si="9"/>
        <v>0</v>
      </c>
      <c r="AB102" s="51" t="str">
        <f t="shared" si="10"/>
        <v/>
      </c>
      <c r="AC102" s="51" t="str">
        <f t="shared" si="10"/>
        <v/>
      </c>
    </row>
    <row r="103" spans="1:29" s="51" customFormat="1" ht="33.75" customHeight="1">
      <c r="A103" s="52">
        <v>82</v>
      </c>
      <c r="B103" s="342"/>
      <c r="C103" s="343"/>
      <c r="D103" s="344"/>
      <c r="E103" s="45"/>
      <c r="F103" s="53"/>
      <c r="G103" s="53"/>
      <c r="H103" s="53"/>
      <c r="I103" s="53"/>
      <c r="J103" s="169"/>
      <c r="K103" s="162"/>
      <c r="L103" s="166"/>
      <c r="M103" s="183" t="b">
        <v>0</v>
      </c>
      <c r="N103" s="478"/>
      <c r="O103" s="479"/>
      <c r="P103" s="479"/>
      <c r="Q103" s="480"/>
      <c r="R103" s="183" t="b">
        <v>0</v>
      </c>
      <c r="S103" s="53"/>
      <c r="T103" s="55"/>
      <c r="U103" s="56"/>
      <c r="V103" s="50">
        <f t="shared" si="5"/>
        <v>0</v>
      </c>
      <c r="Y103" s="51">
        <f t="shared" si="7"/>
        <v>0</v>
      </c>
      <c r="Z103" s="51">
        <f t="shared" si="8"/>
        <v>0</v>
      </c>
      <c r="AA103" s="51">
        <f t="shared" si="9"/>
        <v>0</v>
      </c>
      <c r="AB103" s="51" t="str">
        <f t="shared" si="10"/>
        <v/>
      </c>
      <c r="AC103" s="51" t="str">
        <f t="shared" si="10"/>
        <v/>
      </c>
    </row>
    <row r="104" spans="1:29" s="51" customFormat="1" ht="33.75" customHeight="1">
      <c r="A104" s="52">
        <v>83</v>
      </c>
      <c r="B104" s="342"/>
      <c r="C104" s="343"/>
      <c r="D104" s="344"/>
      <c r="E104" s="45"/>
      <c r="F104" s="53"/>
      <c r="G104" s="53"/>
      <c r="H104" s="53"/>
      <c r="I104" s="53"/>
      <c r="J104" s="169"/>
      <c r="K104" s="162"/>
      <c r="L104" s="166"/>
      <c r="M104" s="183" t="b">
        <v>0</v>
      </c>
      <c r="N104" s="478"/>
      <c r="O104" s="479"/>
      <c r="P104" s="479"/>
      <c r="Q104" s="480"/>
      <c r="R104" s="183" t="b">
        <v>0</v>
      </c>
      <c r="S104" s="53"/>
      <c r="T104" s="55"/>
      <c r="U104" s="56"/>
      <c r="V104" s="50">
        <f t="shared" si="5"/>
        <v>0</v>
      </c>
      <c r="Y104" s="51">
        <f t="shared" si="7"/>
        <v>0</v>
      </c>
      <c r="Z104" s="51">
        <f t="shared" si="8"/>
        <v>0</v>
      </c>
      <c r="AA104" s="51">
        <f t="shared" si="9"/>
        <v>0</v>
      </c>
      <c r="AB104" s="51" t="str">
        <f t="shared" si="10"/>
        <v/>
      </c>
      <c r="AC104" s="51" t="str">
        <f t="shared" si="10"/>
        <v/>
      </c>
    </row>
    <row r="105" spans="1:29" s="51" customFormat="1" ht="33.75" customHeight="1">
      <c r="A105" s="52">
        <v>84</v>
      </c>
      <c r="B105" s="342"/>
      <c r="C105" s="343"/>
      <c r="D105" s="344"/>
      <c r="E105" s="45"/>
      <c r="F105" s="53"/>
      <c r="G105" s="53"/>
      <c r="H105" s="53"/>
      <c r="I105" s="53"/>
      <c r="J105" s="169"/>
      <c r="K105" s="162"/>
      <c r="L105" s="166"/>
      <c r="M105" s="183" t="b">
        <v>0</v>
      </c>
      <c r="N105" s="478"/>
      <c r="O105" s="479"/>
      <c r="P105" s="479"/>
      <c r="Q105" s="480"/>
      <c r="R105" s="183" t="b">
        <v>0</v>
      </c>
      <c r="S105" s="53"/>
      <c r="T105" s="55"/>
      <c r="U105" s="56"/>
      <c r="V105" s="50">
        <f t="shared" si="5"/>
        <v>0</v>
      </c>
      <c r="Y105" s="51">
        <f t="shared" si="7"/>
        <v>0</v>
      </c>
      <c r="Z105" s="51">
        <f t="shared" si="8"/>
        <v>0</v>
      </c>
      <c r="AA105" s="51">
        <f t="shared" si="9"/>
        <v>0</v>
      </c>
      <c r="AB105" s="51" t="str">
        <f t="shared" si="10"/>
        <v/>
      </c>
      <c r="AC105" s="51" t="str">
        <f t="shared" si="10"/>
        <v/>
      </c>
    </row>
    <row r="106" spans="1:29" s="51" customFormat="1" ht="33.75" customHeight="1">
      <c r="A106" s="52">
        <v>85</v>
      </c>
      <c r="B106" s="342"/>
      <c r="C106" s="343"/>
      <c r="D106" s="344"/>
      <c r="E106" s="45"/>
      <c r="F106" s="53"/>
      <c r="G106" s="53"/>
      <c r="H106" s="53"/>
      <c r="I106" s="53"/>
      <c r="J106" s="169"/>
      <c r="K106" s="162"/>
      <c r="L106" s="166"/>
      <c r="M106" s="183" t="b">
        <v>0</v>
      </c>
      <c r="N106" s="478"/>
      <c r="O106" s="479"/>
      <c r="P106" s="479"/>
      <c r="Q106" s="480"/>
      <c r="R106" s="183" t="b">
        <v>0</v>
      </c>
      <c r="S106" s="53"/>
      <c r="T106" s="55"/>
      <c r="U106" s="56"/>
      <c r="V106" s="50">
        <f t="shared" si="5"/>
        <v>0</v>
      </c>
      <c r="Y106" s="51">
        <f t="shared" si="7"/>
        <v>0</v>
      </c>
      <c r="Z106" s="51">
        <f t="shared" si="8"/>
        <v>0</v>
      </c>
      <c r="AA106" s="51">
        <f t="shared" si="9"/>
        <v>0</v>
      </c>
      <c r="AB106" s="51" t="str">
        <f t="shared" si="10"/>
        <v/>
      </c>
      <c r="AC106" s="51" t="str">
        <f t="shared" si="10"/>
        <v/>
      </c>
    </row>
    <row r="107" spans="1:29" s="51" customFormat="1" ht="33.75" customHeight="1">
      <c r="A107" s="52">
        <v>86</v>
      </c>
      <c r="B107" s="342"/>
      <c r="C107" s="343"/>
      <c r="D107" s="344"/>
      <c r="E107" s="45"/>
      <c r="F107" s="53"/>
      <c r="G107" s="53"/>
      <c r="H107" s="53"/>
      <c r="I107" s="53"/>
      <c r="J107" s="169"/>
      <c r="K107" s="162"/>
      <c r="L107" s="166"/>
      <c r="M107" s="183" t="b">
        <v>0</v>
      </c>
      <c r="N107" s="478"/>
      <c r="O107" s="479"/>
      <c r="P107" s="479"/>
      <c r="Q107" s="480"/>
      <c r="R107" s="183" t="b">
        <v>0</v>
      </c>
      <c r="S107" s="53"/>
      <c r="T107" s="55"/>
      <c r="U107" s="56"/>
      <c r="V107" s="50">
        <f t="shared" si="5"/>
        <v>0</v>
      </c>
      <c r="Y107" s="51">
        <f t="shared" si="7"/>
        <v>0</v>
      </c>
      <c r="Z107" s="51">
        <f t="shared" si="8"/>
        <v>0</v>
      </c>
      <c r="AA107" s="51">
        <f t="shared" si="9"/>
        <v>0</v>
      </c>
      <c r="AB107" s="51" t="str">
        <f t="shared" si="10"/>
        <v/>
      </c>
      <c r="AC107" s="51" t="str">
        <f t="shared" si="10"/>
        <v/>
      </c>
    </row>
    <row r="108" spans="1:29" s="51" customFormat="1" ht="33.75" customHeight="1">
      <c r="A108" s="52">
        <v>87</v>
      </c>
      <c r="B108" s="342"/>
      <c r="C108" s="343"/>
      <c r="D108" s="344"/>
      <c r="E108" s="45"/>
      <c r="F108" s="53"/>
      <c r="G108" s="53"/>
      <c r="H108" s="53"/>
      <c r="I108" s="53"/>
      <c r="J108" s="169"/>
      <c r="K108" s="162"/>
      <c r="L108" s="166"/>
      <c r="M108" s="183" t="b">
        <v>0</v>
      </c>
      <c r="N108" s="1138"/>
      <c r="O108" s="1139"/>
      <c r="P108" s="1139"/>
      <c r="Q108" s="1140"/>
      <c r="R108" s="183" t="b">
        <v>0</v>
      </c>
      <c r="S108" s="53"/>
      <c r="T108" s="55"/>
      <c r="U108" s="56"/>
      <c r="V108" s="50">
        <f t="shared" si="5"/>
        <v>0</v>
      </c>
      <c r="Y108" s="51">
        <f t="shared" si="7"/>
        <v>0</v>
      </c>
      <c r="Z108" s="51">
        <f t="shared" si="8"/>
        <v>0</v>
      </c>
      <c r="AA108" s="51">
        <f t="shared" si="9"/>
        <v>0</v>
      </c>
      <c r="AB108" s="51" t="str">
        <f t="shared" si="10"/>
        <v/>
      </c>
      <c r="AC108" s="51" t="str">
        <f t="shared" si="10"/>
        <v/>
      </c>
    </row>
    <row r="109" spans="1:29" s="51" customFormat="1" ht="33.75" customHeight="1">
      <c r="A109" s="52">
        <v>88</v>
      </c>
      <c r="B109" s="342"/>
      <c r="C109" s="343"/>
      <c r="D109" s="344"/>
      <c r="E109" s="45"/>
      <c r="F109" s="53"/>
      <c r="G109" s="53"/>
      <c r="H109" s="53"/>
      <c r="I109" s="53"/>
      <c r="J109" s="169"/>
      <c r="K109" s="162"/>
      <c r="L109" s="166"/>
      <c r="M109" s="183" t="b">
        <v>0</v>
      </c>
      <c r="N109" s="478"/>
      <c r="O109" s="479"/>
      <c r="P109" s="479"/>
      <c r="Q109" s="480"/>
      <c r="R109" s="183" t="b">
        <v>0</v>
      </c>
      <c r="S109" s="53"/>
      <c r="T109" s="55"/>
      <c r="U109" s="56"/>
      <c r="V109" s="50">
        <f t="shared" si="5"/>
        <v>0</v>
      </c>
      <c r="Y109" s="51">
        <f t="shared" si="7"/>
        <v>0</v>
      </c>
      <c r="Z109" s="51">
        <f t="shared" si="8"/>
        <v>0</v>
      </c>
      <c r="AA109" s="51">
        <f t="shared" si="9"/>
        <v>0</v>
      </c>
      <c r="AB109" s="51" t="str">
        <f t="shared" si="10"/>
        <v/>
      </c>
      <c r="AC109" s="51" t="str">
        <f t="shared" si="10"/>
        <v/>
      </c>
    </row>
    <row r="110" spans="1:29" s="51" customFormat="1" ht="33.75" customHeight="1">
      <c r="A110" s="52">
        <v>89</v>
      </c>
      <c r="B110" s="342"/>
      <c r="C110" s="343"/>
      <c r="D110" s="344"/>
      <c r="E110" s="45"/>
      <c r="F110" s="53"/>
      <c r="G110" s="53"/>
      <c r="H110" s="53"/>
      <c r="I110" s="53"/>
      <c r="J110" s="169"/>
      <c r="K110" s="162"/>
      <c r="L110" s="166"/>
      <c r="M110" s="183" t="b">
        <v>0</v>
      </c>
      <c r="N110" s="478"/>
      <c r="O110" s="479"/>
      <c r="P110" s="479"/>
      <c r="Q110" s="480"/>
      <c r="R110" s="183" t="b">
        <v>0</v>
      </c>
      <c r="S110" s="53"/>
      <c r="T110" s="55"/>
      <c r="U110" s="56"/>
      <c r="V110" s="50">
        <f t="shared" si="5"/>
        <v>0</v>
      </c>
      <c r="Y110" s="51">
        <f t="shared" si="7"/>
        <v>0</v>
      </c>
      <c r="Z110" s="51">
        <f t="shared" si="8"/>
        <v>0</v>
      </c>
      <c r="AA110" s="51">
        <f t="shared" si="9"/>
        <v>0</v>
      </c>
      <c r="AB110" s="51" t="str">
        <f t="shared" si="10"/>
        <v/>
      </c>
      <c r="AC110" s="51" t="str">
        <f t="shared" si="10"/>
        <v/>
      </c>
    </row>
    <row r="111" spans="1:29" s="51" customFormat="1" ht="33.75" customHeight="1">
      <c r="A111" s="52">
        <v>90</v>
      </c>
      <c r="B111" s="342"/>
      <c r="C111" s="343"/>
      <c r="D111" s="344"/>
      <c r="E111" s="45"/>
      <c r="F111" s="53"/>
      <c r="G111" s="53"/>
      <c r="H111" s="53"/>
      <c r="I111" s="53"/>
      <c r="J111" s="169"/>
      <c r="K111" s="162"/>
      <c r="L111" s="166"/>
      <c r="M111" s="183" t="b">
        <v>0</v>
      </c>
      <c r="N111" s="478"/>
      <c r="O111" s="479"/>
      <c r="P111" s="479"/>
      <c r="Q111" s="480"/>
      <c r="R111" s="183" t="b">
        <v>0</v>
      </c>
      <c r="S111" s="53"/>
      <c r="T111" s="55"/>
      <c r="U111" s="56"/>
      <c r="V111" s="50">
        <f t="shared" si="5"/>
        <v>0</v>
      </c>
      <c r="Y111" s="51">
        <f t="shared" si="7"/>
        <v>0</v>
      </c>
      <c r="Z111" s="51">
        <f t="shared" si="8"/>
        <v>0</v>
      </c>
      <c r="AA111" s="51">
        <f t="shared" si="9"/>
        <v>0</v>
      </c>
      <c r="AB111" s="51" t="str">
        <f t="shared" si="10"/>
        <v/>
      </c>
      <c r="AC111" s="51" t="str">
        <f t="shared" si="10"/>
        <v/>
      </c>
    </row>
    <row r="112" spans="1:29" s="51" customFormat="1" ht="33.75" customHeight="1">
      <c r="A112" s="52">
        <v>91</v>
      </c>
      <c r="B112" s="342"/>
      <c r="C112" s="343"/>
      <c r="D112" s="344"/>
      <c r="E112" s="45"/>
      <c r="F112" s="53"/>
      <c r="G112" s="53"/>
      <c r="H112" s="53"/>
      <c r="I112" s="53"/>
      <c r="J112" s="169"/>
      <c r="K112" s="162"/>
      <c r="L112" s="166"/>
      <c r="M112" s="183" t="b">
        <v>0</v>
      </c>
      <c r="N112" s="478"/>
      <c r="O112" s="479"/>
      <c r="P112" s="479"/>
      <c r="Q112" s="480"/>
      <c r="R112" s="183" t="b">
        <v>0</v>
      </c>
      <c r="S112" s="53"/>
      <c r="T112" s="55"/>
      <c r="U112" s="56"/>
      <c r="V112" s="50">
        <f t="shared" si="5"/>
        <v>0</v>
      </c>
      <c r="Y112" s="51">
        <f t="shared" si="7"/>
        <v>0</v>
      </c>
      <c r="Z112" s="51">
        <f t="shared" si="8"/>
        <v>0</v>
      </c>
      <c r="AA112" s="51">
        <f t="shared" si="9"/>
        <v>0</v>
      </c>
      <c r="AB112" s="51" t="str">
        <f t="shared" si="10"/>
        <v/>
      </c>
      <c r="AC112" s="51" t="str">
        <f t="shared" si="10"/>
        <v/>
      </c>
    </row>
    <row r="113" spans="1:29" s="51" customFormat="1" ht="33.75" customHeight="1">
      <c r="A113" s="52">
        <v>92</v>
      </c>
      <c r="B113" s="342"/>
      <c r="C113" s="343"/>
      <c r="D113" s="344"/>
      <c r="E113" s="45"/>
      <c r="F113" s="53"/>
      <c r="G113" s="53"/>
      <c r="H113" s="53"/>
      <c r="I113" s="53"/>
      <c r="J113" s="169"/>
      <c r="K113" s="162"/>
      <c r="L113" s="166"/>
      <c r="M113" s="183" t="b">
        <v>0</v>
      </c>
      <c r="N113" s="478"/>
      <c r="O113" s="479"/>
      <c r="P113" s="479"/>
      <c r="Q113" s="480"/>
      <c r="R113" s="183" t="b">
        <v>0</v>
      </c>
      <c r="S113" s="53"/>
      <c r="T113" s="55"/>
      <c r="U113" s="56"/>
      <c r="V113" s="50">
        <f t="shared" si="5"/>
        <v>0</v>
      </c>
      <c r="Y113" s="51">
        <f t="shared" si="7"/>
        <v>0</v>
      </c>
      <c r="Z113" s="51">
        <f t="shared" si="8"/>
        <v>0</v>
      </c>
      <c r="AA113" s="51">
        <f t="shared" si="9"/>
        <v>0</v>
      </c>
      <c r="AB113" s="51" t="str">
        <f t="shared" si="10"/>
        <v/>
      </c>
      <c r="AC113" s="51" t="str">
        <f t="shared" si="10"/>
        <v/>
      </c>
    </row>
    <row r="114" spans="1:29" s="51" customFormat="1" ht="33.75" customHeight="1">
      <c r="A114" s="52">
        <v>93</v>
      </c>
      <c r="B114" s="342"/>
      <c r="C114" s="343"/>
      <c r="D114" s="344"/>
      <c r="E114" s="45"/>
      <c r="F114" s="53"/>
      <c r="G114" s="53"/>
      <c r="H114" s="53"/>
      <c r="I114" s="53"/>
      <c r="J114" s="169"/>
      <c r="K114" s="162"/>
      <c r="L114" s="166"/>
      <c r="M114" s="183" t="b">
        <v>0</v>
      </c>
      <c r="N114" s="478"/>
      <c r="O114" s="479"/>
      <c r="P114" s="479"/>
      <c r="Q114" s="480"/>
      <c r="R114" s="183" t="b">
        <v>0</v>
      </c>
      <c r="S114" s="53"/>
      <c r="T114" s="55"/>
      <c r="U114" s="56"/>
      <c r="V114" s="50">
        <f t="shared" si="5"/>
        <v>0</v>
      </c>
      <c r="Y114" s="51">
        <f t="shared" si="7"/>
        <v>0</v>
      </c>
      <c r="Z114" s="51">
        <f t="shared" si="8"/>
        <v>0</v>
      </c>
      <c r="AA114" s="51">
        <f t="shared" si="9"/>
        <v>0</v>
      </c>
      <c r="AB114" s="51" t="str">
        <f t="shared" si="10"/>
        <v/>
      </c>
      <c r="AC114" s="51" t="str">
        <f t="shared" si="10"/>
        <v/>
      </c>
    </row>
    <row r="115" spans="1:29" s="51" customFormat="1" ht="33.75" customHeight="1">
      <c r="A115" s="52">
        <v>94</v>
      </c>
      <c r="B115" s="342"/>
      <c r="C115" s="343"/>
      <c r="D115" s="344"/>
      <c r="E115" s="45"/>
      <c r="F115" s="53"/>
      <c r="G115" s="53"/>
      <c r="H115" s="53"/>
      <c r="I115" s="53"/>
      <c r="J115" s="169"/>
      <c r="K115" s="162"/>
      <c r="L115" s="166"/>
      <c r="M115" s="183" t="b">
        <v>0</v>
      </c>
      <c r="N115" s="478"/>
      <c r="O115" s="479"/>
      <c r="P115" s="479"/>
      <c r="Q115" s="480"/>
      <c r="R115" s="183" t="b">
        <v>0</v>
      </c>
      <c r="S115" s="53"/>
      <c r="T115" s="55"/>
      <c r="U115" s="56"/>
      <c r="V115" s="50">
        <f t="shared" si="5"/>
        <v>0</v>
      </c>
      <c r="Y115" s="51">
        <f t="shared" si="7"/>
        <v>0</v>
      </c>
      <c r="Z115" s="51">
        <f t="shared" si="8"/>
        <v>0</v>
      </c>
      <c r="AA115" s="51">
        <f t="shared" si="9"/>
        <v>0</v>
      </c>
      <c r="AB115" s="51" t="str">
        <f t="shared" si="10"/>
        <v/>
      </c>
      <c r="AC115" s="51" t="str">
        <f t="shared" si="10"/>
        <v/>
      </c>
    </row>
    <row r="116" spans="1:29" s="51" customFormat="1" ht="33.75" customHeight="1">
      <c r="A116" s="52">
        <v>95</v>
      </c>
      <c r="B116" s="342"/>
      <c r="C116" s="343"/>
      <c r="D116" s="344"/>
      <c r="E116" s="45"/>
      <c r="F116" s="53"/>
      <c r="G116" s="53"/>
      <c r="H116" s="53"/>
      <c r="I116" s="53"/>
      <c r="J116" s="169"/>
      <c r="K116" s="162"/>
      <c r="L116" s="166"/>
      <c r="M116" s="183" t="b">
        <v>0</v>
      </c>
      <c r="N116" s="478"/>
      <c r="O116" s="479"/>
      <c r="P116" s="479"/>
      <c r="Q116" s="480"/>
      <c r="R116" s="183" t="b">
        <v>0</v>
      </c>
      <c r="S116" s="53"/>
      <c r="T116" s="55"/>
      <c r="U116" s="56"/>
      <c r="V116" s="50">
        <f t="shared" si="5"/>
        <v>0</v>
      </c>
      <c r="Y116" s="51">
        <f t="shared" si="7"/>
        <v>0</v>
      </c>
      <c r="Z116" s="51">
        <f t="shared" si="8"/>
        <v>0</v>
      </c>
      <c r="AA116" s="51">
        <f t="shared" si="9"/>
        <v>0</v>
      </c>
      <c r="AB116" s="51" t="str">
        <f t="shared" si="10"/>
        <v/>
      </c>
      <c r="AC116" s="51" t="str">
        <f t="shared" si="10"/>
        <v/>
      </c>
    </row>
    <row r="117" spans="1:29" s="51" customFormat="1" ht="33.75" customHeight="1">
      <c r="A117" s="52">
        <v>96</v>
      </c>
      <c r="B117" s="342"/>
      <c r="C117" s="343"/>
      <c r="D117" s="344"/>
      <c r="E117" s="45"/>
      <c r="F117" s="53"/>
      <c r="G117" s="53"/>
      <c r="H117" s="53"/>
      <c r="I117" s="53"/>
      <c r="J117" s="169"/>
      <c r="K117" s="162"/>
      <c r="L117" s="166"/>
      <c r="M117" s="183" t="b">
        <v>0</v>
      </c>
      <c r="N117" s="478"/>
      <c r="O117" s="479"/>
      <c r="P117" s="479"/>
      <c r="Q117" s="480"/>
      <c r="R117" s="183" t="b">
        <v>0</v>
      </c>
      <c r="S117" s="53"/>
      <c r="T117" s="55"/>
      <c r="U117" s="56"/>
      <c r="V117" s="50">
        <f t="shared" si="5"/>
        <v>0</v>
      </c>
      <c r="Y117" s="51">
        <f t="shared" si="7"/>
        <v>0</v>
      </c>
      <c r="Z117" s="51">
        <f t="shared" si="8"/>
        <v>0</v>
      </c>
      <c r="AA117" s="51">
        <f t="shared" si="9"/>
        <v>0</v>
      </c>
      <c r="AB117" s="51" t="str">
        <f t="shared" si="10"/>
        <v/>
      </c>
      <c r="AC117" s="51" t="str">
        <f t="shared" si="10"/>
        <v/>
      </c>
    </row>
    <row r="118" spans="1:29" s="51" customFormat="1" ht="33.75" customHeight="1">
      <c r="A118" s="52">
        <v>97</v>
      </c>
      <c r="B118" s="342"/>
      <c r="C118" s="343"/>
      <c r="D118" s="344"/>
      <c r="E118" s="45"/>
      <c r="F118" s="53"/>
      <c r="G118" s="53"/>
      <c r="H118" s="53"/>
      <c r="I118" s="53"/>
      <c r="J118" s="169"/>
      <c r="K118" s="162"/>
      <c r="L118" s="166"/>
      <c r="M118" s="183" t="b">
        <v>0</v>
      </c>
      <c r="N118" s="478"/>
      <c r="O118" s="479"/>
      <c r="P118" s="479"/>
      <c r="Q118" s="480"/>
      <c r="R118" s="183" t="b">
        <v>0</v>
      </c>
      <c r="S118" s="53"/>
      <c r="T118" s="55"/>
      <c r="U118" s="56"/>
      <c r="V118" s="50">
        <f t="shared" si="5"/>
        <v>0</v>
      </c>
      <c r="Y118" s="51">
        <f t="shared" si="7"/>
        <v>0</v>
      </c>
      <c r="Z118" s="51">
        <f t="shared" si="8"/>
        <v>0</v>
      </c>
      <c r="AA118" s="51">
        <f t="shared" si="9"/>
        <v>0</v>
      </c>
      <c r="AB118" s="51" t="str">
        <f t="shared" si="10"/>
        <v/>
      </c>
      <c r="AC118" s="51" t="str">
        <f t="shared" si="10"/>
        <v/>
      </c>
    </row>
    <row r="119" spans="1:29" s="51" customFormat="1" ht="33.75" customHeight="1">
      <c r="A119" s="52">
        <v>98</v>
      </c>
      <c r="B119" s="342"/>
      <c r="C119" s="343"/>
      <c r="D119" s="344"/>
      <c r="E119" s="45"/>
      <c r="F119" s="53"/>
      <c r="G119" s="53"/>
      <c r="H119" s="53"/>
      <c r="I119" s="53"/>
      <c r="J119" s="169"/>
      <c r="K119" s="162"/>
      <c r="L119" s="166"/>
      <c r="M119" s="183" t="b">
        <v>0</v>
      </c>
      <c r="N119" s="478"/>
      <c r="O119" s="479"/>
      <c r="P119" s="479"/>
      <c r="Q119" s="480"/>
      <c r="R119" s="183" t="b">
        <v>0</v>
      </c>
      <c r="S119" s="53"/>
      <c r="T119" s="55"/>
      <c r="U119" s="56"/>
      <c r="V119" s="50">
        <f t="shared" si="5"/>
        <v>0</v>
      </c>
      <c r="Y119" s="51">
        <f t="shared" si="7"/>
        <v>0</v>
      </c>
      <c r="Z119" s="51">
        <f t="shared" si="8"/>
        <v>0</v>
      </c>
      <c r="AA119" s="51">
        <f t="shared" si="9"/>
        <v>0</v>
      </c>
      <c r="AB119" s="51" t="str">
        <f t="shared" si="10"/>
        <v/>
      </c>
      <c r="AC119" s="51" t="str">
        <f t="shared" si="10"/>
        <v/>
      </c>
    </row>
    <row r="120" spans="1:29" s="51" customFormat="1" ht="33.75" customHeight="1">
      <c r="A120" s="52">
        <v>99</v>
      </c>
      <c r="B120" s="342"/>
      <c r="C120" s="343"/>
      <c r="D120" s="344"/>
      <c r="E120" s="45"/>
      <c r="F120" s="53"/>
      <c r="G120" s="53"/>
      <c r="H120" s="53"/>
      <c r="I120" s="53"/>
      <c r="J120" s="169"/>
      <c r="K120" s="162"/>
      <c r="L120" s="166"/>
      <c r="M120" s="183" t="b">
        <v>0</v>
      </c>
      <c r="N120" s="478"/>
      <c r="O120" s="479"/>
      <c r="P120" s="479"/>
      <c r="Q120" s="480"/>
      <c r="R120" s="183" t="b">
        <v>0</v>
      </c>
      <c r="S120" s="53"/>
      <c r="T120" s="55"/>
      <c r="U120" s="56"/>
      <c r="V120" s="50">
        <f t="shared" si="5"/>
        <v>0</v>
      </c>
      <c r="Y120" s="51">
        <f t="shared" si="7"/>
        <v>0</v>
      </c>
      <c r="Z120" s="51">
        <f t="shared" si="8"/>
        <v>0</v>
      </c>
      <c r="AA120" s="51">
        <f t="shared" si="9"/>
        <v>0</v>
      </c>
      <c r="AB120" s="51" t="str">
        <f t="shared" si="10"/>
        <v/>
      </c>
      <c r="AC120" s="51" t="str">
        <f t="shared" si="10"/>
        <v/>
      </c>
    </row>
    <row r="121" spans="1:29" s="51" customFormat="1" ht="33.75" customHeight="1">
      <c r="A121" s="52">
        <v>100</v>
      </c>
      <c r="B121" s="342"/>
      <c r="C121" s="343"/>
      <c r="D121" s="344"/>
      <c r="E121" s="45"/>
      <c r="F121" s="53"/>
      <c r="G121" s="53"/>
      <c r="H121" s="53"/>
      <c r="I121" s="53"/>
      <c r="J121" s="169"/>
      <c r="K121" s="162"/>
      <c r="L121" s="166"/>
      <c r="M121" s="183" t="b">
        <v>0</v>
      </c>
      <c r="N121" s="478"/>
      <c r="O121" s="479"/>
      <c r="P121" s="479"/>
      <c r="Q121" s="480"/>
      <c r="R121" s="183" t="b">
        <v>0</v>
      </c>
      <c r="S121" s="53"/>
      <c r="T121" s="55"/>
      <c r="U121" s="56"/>
      <c r="V121" s="50">
        <f t="shared" si="5"/>
        <v>0</v>
      </c>
      <c r="Y121" s="51">
        <f t="shared" si="7"/>
        <v>0</v>
      </c>
      <c r="Z121" s="51">
        <f t="shared" si="8"/>
        <v>0</v>
      </c>
      <c r="AA121" s="51">
        <f t="shared" si="9"/>
        <v>0</v>
      </c>
      <c r="AB121" s="51" t="str">
        <f t="shared" si="10"/>
        <v/>
      </c>
      <c r="AC121" s="51" t="str">
        <f t="shared" si="10"/>
        <v/>
      </c>
    </row>
    <row r="122" spans="1:29" s="51" customFormat="1" ht="33.75" customHeight="1">
      <c r="A122" s="52">
        <v>101</v>
      </c>
      <c r="B122" s="342"/>
      <c r="C122" s="343"/>
      <c r="D122" s="344"/>
      <c r="E122" s="45"/>
      <c r="F122" s="53"/>
      <c r="G122" s="53"/>
      <c r="H122" s="53"/>
      <c r="I122" s="53"/>
      <c r="J122" s="169"/>
      <c r="K122" s="162"/>
      <c r="L122" s="166"/>
      <c r="M122" s="183" t="b">
        <v>0</v>
      </c>
      <c r="N122" s="478"/>
      <c r="O122" s="479"/>
      <c r="P122" s="479"/>
      <c r="Q122" s="480"/>
      <c r="R122" s="183" t="b">
        <v>0</v>
      </c>
      <c r="S122" s="53"/>
      <c r="T122" s="55"/>
      <c r="U122" s="56"/>
      <c r="V122" s="50">
        <f t="shared" si="5"/>
        <v>0</v>
      </c>
      <c r="Y122" s="51">
        <f t="shared" si="7"/>
        <v>0</v>
      </c>
      <c r="Z122" s="51">
        <f t="shared" si="8"/>
        <v>0</v>
      </c>
      <c r="AA122" s="51">
        <f t="shared" si="9"/>
        <v>0</v>
      </c>
      <c r="AB122" s="51" t="str">
        <f t="shared" si="10"/>
        <v/>
      </c>
      <c r="AC122" s="51" t="str">
        <f t="shared" si="10"/>
        <v/>
      </c>
    </row>
    <row r="123" spans="1:29" s="51" customFormat="1" ht="33.75" customHeight="1">
      <c r="A123" s="52">
        <v>102</v>
      </c>
      <c r="B123" s="342"/>
      <c r="C123" s="343"/>
      <c r="D123" s="344"/>
      <c r="E123" s="45"/>
      <c r="F123" s="53"/>
      <c r="G123" s="53"/>
      <c r="H123" s="53"/>
      <c r="I123" s="53"/>
      <c r="J123" s="169"/>
      <c r="K123" s="162"/>
      <c r="L123" s="166"/>
      <c r="M123" s="183" t="b">
        <v>0</v>
      </c>
      <c r="N123" s="478"/>
      <c r="O123" s="479"/>
      <c r="P123" s="479"/>
      <c r="Q123" s="480"/>
      <c r="R123" s="183" t="b">
        <v>0</v>
      </c>
      <c r="S123" s="53"/>
      <c r="T123" s="55"/>
      <c r="U123" s="56"/>
      <c r="V123" s="50">
        <f t="shared" si="5"/>
        <v>0</v>
      </c>
      <c r="Y123" s="51">
        <f t="shared" si="7"/>
        <v>0</v>
      </c>
      <c r="Z123" s="51">
        <f t="shared" si="8"/>
        <v>0</v>
      </c>
      <c r="AA123" s="51">
        <f t="shared" si="9"/>
        <v>0</v>
      </c>
      <c r="AB123" s="51" t="str">
        <f t="shared" si="10"/>
        <v/>
      </c>
      <c r="AC123" s="51" t="str">
        <f t="shared" si="10"/>
        <v/>
      </c>
    </row>
    <row r="124" spans="1:29" s="51" customFormat="1" ht="33.75" customHeight="1">
      <c r="A124" s="52">
        <v>103</v>
      </c>
      <c r="B124" s="342"/>
      <c r="C124" s="343"/>
      <c r="D124" s="344"/>
      <c r="E124" s="45"/>
      <c r="F124" s="53"/>
      <c r="G124" s="53"/>
      <c r="H124" s="53"/>
      <c r="I124" s="53"/>
      <c r="J124" s="169"/>
      <c r="K124" s="162"/>
      <c r="L124" s="166"/>
      <c r="M124" s="183" t="b">
        <v>0</v>
      </c>
      <c r="N124" s="478"/>
      <c r="O124" s="479"/>
      <c r="P124" s="479"/>
      <c r="Q124" s="480"/>
      <c r="R124" s="183" t="b">
        <v>0</v>
      </c>
      <c r="S124" s="53"/>
      <c r="T124" s="55"/>
      <c r="U124" s="56"/>
      <c r="V124" s="50">
        <f t="shared" si="5"/>
        <v>0</v>
      </c>
      <c r="Y124" s="51">
        <f t="shared" si="7"/>
        <v>0</v>
      </c>
      <c r="Z124" s="51">
        <f t="shared" si="8"/>
        <v>0</v>
      </c>
      <c r="AA124" s="51">
        <f t="shared" si="9"/>
        <v>0</v>
      </c>
      <c r="AB124" s="51" t="str">
        <f t="shared" si="10"/>
        <v/>
      </c>
      <c r="AC124" s="51" t="str">
        <f t="shared" si="10"/>
        <v/>
      </c>
    </row>
    <row r="125" spans="1:29" s="51" customFormat="1" ht="33.75" customHeight="1">
      <c r="A125" s="52">
        <v>104</v>
      </c>
      <c r="B125" s="342"/>
      <c r="C125" s="343"/>
      <c r="D125" s="344"/>
      <c r="E125" s="45"/>
      <c r="F125" s="53"/>
      <c r="G125" s="53"/>
      <c r="H125" s="53"/>
      <c r="I125" s="53"/>
      <c r="J125" s="169"/>
      <c r="K125" s="162"/>
      <c r="L125" s="166"/>
      <c r="M125" s="183" t="b">
        <v>0</v>
      </c>
      <c r="N125" s="478"/>
      <c r="O125" s="479"/>
      <c r="P125" s="479"/>
      <c r="Q125" s="480"/>
      <c r="R125" s="183" t="b">
        <v>0</v>
      </c>
      <c r="S125" s="53"/>
      <c r="T125" s="55"/>
      <c r="U125" s="56"/>
      <c r="V125" s="50">
        <f t="shared" si="5"/>
        <v>0</v>
      </c>
      <c r="Y125" s="51">
        <f t="shared" si="7"/>
        <v>0</v>
      </c>
      <c r="Z125" s="51">
        <f t="shared" si="8"/>
        <v>0</v>
      </c>
      <c r="AA125" s="51">
        <f t="shared" si="9"/>
        <v>0</v>
      </c>
      <c r="AB125" s="51" t="str">
        <f t="shared" si="10"/>
        <v/>
      </c>
      <c r="AC125" s="51" t="str">
        <f t="shared" si="10"/>
        <v/>
      </c>
    </row>
    <row r="126" spans="1:29" s="51" customFormat="1" ht="33.75" customHeight="1">
      <c r="A126" s="52">
        <v>105</v>
      </c>
      <c r="B126" s="342"/>
      <c r="C126" s="343"/>
      <c r="D126" s="344"/>
      <c r="E126" s="45"/>
      <c r="F126" s="53"/>
      <c r="G126" s="53"/>
      <c r="H126" s="53"/>
      <c r="I126" s="53"/>
      <c r="J126" s="169"/>
      <c r="K126" s="162"/>
      <c r="L126" s="166">
        <f t="shared" ref="L87:L150" si="11">COUNT(F126:I126)</f>
        <v>0</v>
      </c>
      <c r="M126" s="183" t="b">
        <v>0</v>
      </c>
      <c r="N126" s="478"/>
      <c r="O126" s="479"/>
      <c r="P126" s="479"/>
      <c r="Q126" s="480"/>
      <c r="R126" s="183" t="b">
        <v>0</v>
      </c>
      <c r="S126" s="53"/>
      <c r="T126" s="55"/>
      <c r="U126" s="56"/>
      <c r="V126" s="50">
        <f t="shared" si="5"/>
        <v>0</v>
      </c>
      <c r="Y126" s="51">
        <f t="shared" si="7"/>
        <v>0</v>
      </c>
      <c r="Z126" s="51">
        <f t="shared" si="8"/>
        <v>0</v>
      </c>
      <c r="AA126" s="51">
        <f t="shared" si="9"/>
        <v>0</v>
      </c>
      <c r="AB126" s="51" t="str">
        <f t="shared" si="10"/>
        <v/>
      </c>
      <c r="AC126" s="51" t="str">
        <f t="shared" si="10"/>
        <v/>
      </c>
    </row>
    <row r="127" spans="1:29" s="51" customFormat="1" ht="33.75" customHeight="1">
      <c r="A127" s="52">
        <v>106</v>
      </c>
      <c r="B127" s="342"/>
      <c r="C127" s="343"/>
      <c r="D127" s="344"/>
      <c r="E127" s="45"/>
      <c r="F127" s="53"/>
      <c r="G127" s="53"/>
      <c r="H127" s="53"/>
      <c r="I127" s="53"/>
      <c r="J127" s="169"/>
      <c r="K127" s="162"/>
      <c r="L127" s="166">
        <f t="shared" si="11"/>
        <v>0</v>
      </c>
      <c r="M127" s="183" t="b">
        <v>0</v>
      </c>
      <c r="N127" s="478"/>
      <c r="O127" s="479"/>
      <c r="P127" s="479"/>
      <c r="Q127" s="480"/>
      <c r="R127" s="183" t="b">
        <v>0</v>
      </c>
      <c r="S127" s="53"/>
      <c r="T127" s="55"/>
      <c r="U127" s="56"/>
      <c r="V127" s="50">
        <f t="shared" si="5"/>
        <v>0</v>
      </c>
      <c r="Y127" s="51">
        <f t="shared" si="7"/>
        <v>0</v>
      </c>
      <c r="Z127" s="51">
        <f t="shared" si="8"/>
        <v>0</v>
      </c>
      <c r="AA127" s="51">
        <f t="shared" si="9"/>
        <v>0</v>
      </c>
      <c r="AB127" s="51" t="str">
        <f t="shared" si="10"/>
        <v/>
      </c>
      <c r="AC127" s="51" t="str">
        <f t="shared" si="10"/>
        <v/>
      </c>
    </row>
    <row r="128" spans="1:29" s="51" customFormat="1" ht="33.75" customHeight="1">
      <c r="A128" s="52">
        <v>107</v>
      </c>
      <c r="B128" s="342"/>
      <c r="C128" s="343"/>
      <c r="D128" s="344"/>
      <c r="E128" s="45"/>
      <c r="F128" s="53"/>
      <c r="G128" s="53"/>
      <c r="H128" s="53"/>
      <c r="I128" s="53"/>
      <c r="J128" s="169"/>
      <c r="K128" s="162"/>
      <c r="L128" s="166">
        <f t="shared" si="11"/>
        <v>0</v>
      </c>
      <c r="M128" s="183" t="b">
        <v>0</v>
      </c>
      <c r="N128" s="478"/>
      <c r="O128" s="479"/>
      <c r="P128" s="479"/>
      <c r="Q128" s="480"/>
      <c r="R128" s="183" t="b">
        <v>0</v>
      </c>
      <c r="S128" s="53"/>
      <c r="T128" s="55"/>
      <c r="U128" s="56"/>
      <c r="V128" s="50">
        <f t="shared" si="5"/>
        <v>0</v>
      </c>
      <c r="Y128" s="51">
        <f t="shared" si="7"/>
        <v>0</v>
      </c>
      <c r="Z128" s="51">
        <f t="shared" si="8"/>
        <v>0</v>
      </c>
      <c r="AA128" s="51">
        <f t="shared" si="9"/>
        <v>0</v>
      </c>
      <c r="AB128" s="51" t="str">
        <f t="shared" si="10"/>
        <v/>
      </c>
      <c r="AC128" s="51" t="str">
        <f t="shared" si="10"/>
        <v/>
      </c>
    </row>
    <row r="129" spans="1:29" s="51" customFormat="1" ht="33.75" customHeight="1">
      <c r="A129" s="52">
        <v>108</v>
      </c>
      <c r="B129" s="342"/>
      <c r="C129" s="343"/>
      <c r="D129" s="344"/>
      <c r="E129" s="45"/>
      <c r="F129" s="53"/>
      <c r="G129" s="53"/>
      <c r="H129" s="53"/>
      <c r="I129" s="53"/>
      <c r="J129" s="169"/>
      <c r="K129" s="162"/>
      <c r="L129" s="166">
        <f t="shared" si="11"/>
        <v>0</v>
      </c>
      <c r="M129" s="183" t="b">
        <v>0</v>
      </c>
      <c r="N129" s="478"/>
      <c r="O129" s="479"/>
      <c r="P129" s="479"/>
      <c r="Q129" s="480"/>
      <c r="R129" s="183" t="b">
        <v>0</v>
      </c>
      <c r="S129" s="53"/>
      <c r="T129" s="55"/>
      <c r="U129" s="56"/>
      <c r="V129" s="50">
        <f t="shared" si="5"/>
        <v>0</v>
      </c>
      <c r="Y129" s="51">
        <f t="shared" si="7"/>
        <v>0</v>
      </c>
      <c r="Z129" s="51">
        <f t="shared" si="8"/>
        <v>0</v>
      </c>
      <c r="AA129" s="51">
        <f t="shared" si="9"/>
        <v>0</v>
      </c>
      <c r="AB129" s="51" t="str">
        <f t="shared" si="10"/>
        <v/>
      </c>
      <c r="AC129" s="51" t="str">
        <f t="shared" si="10"/>
        <v/>
      </c>
    </row>
    <row r="130" spans="1:29" s="51" customFormat="1" ht="33.75" customHeight="1">
      <c r="A130" s="52">
        <v>109</v>
      </c>
      <c r="B130" s="342"/>
      <c r="C130" s="343"/>
      <c r="D130" s="344"/>
      <c r="E130" s="45"/>
      <c r="F130" s="53"/>
      <c r="G130" s="53"/>
      <c r="H130" s="53"/>
      <c r="I130" s="53"/>
      <c r="J130" s="169"/>
      <c r="K130" s="162"/>
      <c r="L130" s="166">
        <f t="shared" si="11"/>
        <v>0</v>
      </c>
      <c r="M130" s="183" t="b">
        <v>0</v>
      </c>
      <c r="N130" s="478"/>
      <c r="O130" s="479"/>
      <c r="P130" s="479"/>
      <c r="Q130" s="480"/>
      <c r="R130" s="183" t="b">
        <v>0</v>
      </c>
      <c r="S130" s="53"/>
      <c r="T130" s="55"/>
      <c r="U130" s="56"/>
      <c r="V130" s="50">
        <f t="shared" si="5"/>
        <v>0</v>
      </c>
      <c r="Y130" s="51">
        <f t="shared" si="7"/>
        <v>0</v>
      </c>
      <c r="Z130" s="51">
        <f t="shared" si="8"/>
        <v>0</v>
      </c>
      <c r="AA130" s="51">
        <f t="shared" si="9"/>
        <v>0</v>
      </c>
      <c r="AB130" s="51" t="str">
        <f t="shared" si="10"/>
        <v/>
      </c>
      <c r="AC130" s="51" t="str">
        <f t="shared" si="10"/>
        <v/>
      </c>
    </row>
    <row r="131" spans="1:29" s="51" customFormat="1" ht="33.75" customHeight="1">
      <c r="A131" s="52">
        <v>110</v>
      </c>
      <c r="B131" s="342"/>
      <c r="C131" s="343"/>
      <c r="D131" s="344"/>
      <c r="E131" s="45"/>
      <c r="F131" s="53"/>
      <c r="G131" s="53"/>
      <c r="H131" s="53"/>
      <c r="I131" s="53"/>
      <c r="J131" s="169"/>
      <c r="K131" s="162"/>
      <c r="L131" s="166">
        <f t="shared" si="11"/>
        <v>0</v>
      </c>
      <c r="M131" s="183" t="b">
        <v>0</v>
      </c>
      <c r="N131" s="478"/>
      <c r="O131" s="479"/>
      <c r="P131" s="479"/>
      <c r="Q131" s="480"/>
      <c r="R131" s="183" t="b">
        <v>0</v>
      </c>
      <c r="S131" s="53"/>
      <c r="T131" s="55"/>
      <c r="U131" s="56"/>
      <c r="V131" s="50">
        <f t="shared" si="5"/>
        <v>0</v>
      </c>
      <c r="Y131" s="51">
        <f t="shared" si="7"/>
        <v>0</v>
      </c>
      <c r="Z131" s="51">
        <f t="shared" si="8"/>
        <v>0</v>
      </c>
      <c r="AA131" s="51">
        <f t="shared" si="9"/>
        <v>0</v>
      </c>
      <c r="AB131" s="51" t="str">
        <f t="shared" si="10"/>
        <v/>
      </c>
      <c r="AC131" s="51" t="str">
        <f t="shared" si="10"/>
        <v/>
      </c>
    </row>
    <row r="132" spans="1:29" s="51" customFormat="1" ht="33.75" customHeight="1">
      <c r="A132" s="52">
        <v>111</v>
      </c>
      <c r="B132" s="342"/>
      <c r="C132" s="343"/>
      <c r="D132" s="344"/>
      <c r="E132" s="45"/>
      <c r="F132" s="53"/>
      <c r="G132" s="53"/>
      <c r="H132" s="53"/>
      <c r="I132" s="53"/>
      <c r="J132" s="169"/>
      <c r="K132" s="162"/>
      <c r="L132" s="166">
        <f t="shared" si="11"/>
        <v>0</v>
      </c>
      <c r="M132" s="183" t="b">
        <v>0</v>
      </c>
      <c r="N132" s="478"/>
      <c r="O132" s="479"/>
      <c r="P132" s="479"/>
      <c r="Q132" s="480"/>
      <c r="R132" s="183" t="b">
        <v>0</v>
      </c>
      <c r="S132" s="53"/>
      <c r="T132" s="55"/>
      <c r="U132" s="56"/>
      <c r="V132" s="50">
        <f t="shared" si="5"/>
        <v>0</v>
      </c>
      <c r="Y132" s="51">
        <f t="shared" si="7"/>
        <v>0</v>
      </c>
      <c r="Z132" s="51">
        <f t="shared" si="8"/>
        <v>0</v>
      </c>
      <c r="AA132" s="51">
        <f t="shared" si="9"/>
        <v>0</v>
      </c>
      <c r="AB132" s="51" t="str">
        <f t="shared" si="10"/>
        <v/>
      </c>
      <c r="AC132" s="51" t="str">
        <f t="shared" si="10"/>
        <v/>
      </c>
    </row>
    <row r="133" spans="1:29" s="51" customFormat="1" ht="33.75" customHeight="1">
      <c r="A133" s="52">
        <v>112</v>
      </c>
      <c r="B133" s="342"/>
      <c r="C133" s="343"/>
      <c r="D133" s="344"/>
      <c r="E133" s="45"/>
      <c r="F133" s="53"/>
      <c r="G133" s="53"/>
      <c r="H133" s="53"/>
      <c r="I133" s="53"/>
      <c r="J133" s="169"/>
      <c r="K133" s="162"/>
      <c r="L133" s="166">
        <f t="shared" si="11"/>
        <v>0</v>
      </c>
      <c r="M133" s="183" t="b">
        <v>0</v>
      </c>
      <c r="N133" s="478"/>
      <c r="O133" s="479"/>
      <c r="P133" s="479"/>
      <c r="Q133" s="480"/>
      <c r="R133" s="183" t="b">
        <v>0</v>
      </c>
      <c r="S133" s="53"/>
      <c r="T133" s="55"/>
      <c r="U133" s="56"/>
      <c r="V133" s="50">
        <f t="shared" si="5"/>
        <v>0</v>
      </c>
      <c r="Y133" s="51">
        <f t="shared" si="7"/>
        <v>0</v>
      </c>
      <c r="Z133" s="51">
        <f t="shared" si="8"/>
        <v>0</v>
      </c>
      <c r="AA133" s="51">
        <f t="shared" si="9"/>
        <v>0</v>
      </c>
      <c r="AB133" s="51" t="str">
        <f t="shared" si="10"/>
        <v/>
      </c>
      <c r="AC133" s="51" t="str">
        <f t="shared" si="10"/>
        <v/>
      </c>
    </row>
    <row r="134" spans="1:29" s="51" customFormat="1" ht="33.75" customHeight="1">
      <c r="A134" s="52">
        <v>113</v>
      </c>
      <c r="B134" s="342"/>
      <c r="C134" s="343"/>
      <c r="D134" s="344"/>
      <c r="E134" s="45"/>
      <c r="F134" s="53"/>
      <c r="G134" s="53"/>
      <c r="H134" s="53"/>
      <c r="I134" s="53"/>
      <c r="J134" s="169"/>
      <c r="K134" s="162"/>
      <c r="L134" s="166">
        <f t="shared" si="11"/>
        <v>0</v>
      </c>
      <c r="M134" s="183" t="b">
        <v>0</v>
      </c>
      <c r="N134" s="478"/>
      <c r="O134" s="479"/>
      <c r="P134" s="479"/>
      <c r="Q134" s="480"/>
      <c r="R134" s="183" t="b">
        <v>0</v>
      </c>
      <c r="S134" s="53"/>
      <c r="T134" s="55"/>
      <c r="U134" s="56"/>
      <c r="V134" s="50">
        <f t="shared" si="5"/>
        <v>0</v>
      </c>
      <c r="Y134" s="51">
        <f t="shared" si="7"/>
        <v>0</v>
      </c>
      <c r="Z134" s="51">
        <f t="shared" si="8"/>
        <v>0</v>
      </c>
      <c r="AA134" s="51">
        <f t="shared" si="9"/>
        <v>0</v>
      </c>
      <c r="AB134" s="51" t="str">
        <f t="shared" si="10"/>
        <v/>
      </c>
      <c r="AC134" s="51" t="str">
        <f t="shared" si="10"/>
        <v/>
      </c>
    </row>
    <row r="135" spans="1:29" s="51" customFormat="1" ht="33.75" customHeight="1">
      <c r="A135" s="52">
        <v>114</v>
      </c>
      <c r="B135" s="342"/>
      <c r="C135" s="343"/>
      <c r="D135" s="344"/>
      <c r="E135" s="45"/>
      <c r="F135" s="53"/>
      <c r="G135" s="53"/>
      <c r="H135" s="53"/>
      <c r="I135" s="53"/>
      <c r="J135" s="169"/>
      <c r="K135" s="162"/>
      <c r="L135" s="166">
        <f t="shared" si="11"/>
        <v>0</v>
      </c>
      <c r="M135" s="183" t="b">
        <v>0</v>
      </c>
      <c r="N135" s="478"/>
      <c r="O135" s="479"/>
      <c r="P135" s="479"/>
      <c r="Q135" s="480"/>
      <c r="R135" s="183" t="b">
        <v>0</v>
      </c>
      <c r="S135" s="53"/>
      <c r="T135" s="55"/>
      <c r="U135" s="56"/>
      <c r="V135" s="50">
        <f t="shared" si="5"/>
        <v>0</v>
      </c>
      <c r="Y135" s="51">
        <f t="shared" si="7"/>
        <v>0</v>
      </c>
      <c r="Z135" s="51">
        <f t="shared" si="8"/>
        <v>0</v>
      </c>
      <c r="AA135" s="51">
        <f t="shared" si="9"/>
        <v>0</v>
      </c>
      <c r="AB135" s="51" t="str">
        <f t="shared" si="10"/>
        <v/>
      </c>
      <c r="AC135" s="51" t="str">
        <f t="shared" si="10"/>
        <v/>
      </c>
    </row>
    <row r="136" spans="1:29" s="51" customFormat="1" ht="33.75" customHeight="1">
      <c r="A136" s="52">
        <v>115</v>
      </c>
      <c r="B136" s="342"/>
      <c r="C136" s="343"/>
      <c r="D136" s="344"/>
      <c r="E136" s="45"/>
      <c r="F136" s="53"/>
      <c r="G136" s="53"/>
      <c r="H136" s="53"/>
      <c r="I136" s="53"/>
      <c r="J136" s="169"/>
      <c r="K136" s="162"/>
      <c r="L136" s="166">
        <f t="shared" si="11"/>
        <v>0</v>
      </c>
      <c r="M136" s="183" t="b">
        <v>0</v>
      </c>
      <c r="N136" s="478"/>
      <c r="O136" s="479"/>
      <c r="P136" s="479"/>
      <c r="Q136" s="480"/>
      <c r="R136" s="183" t="b">
        <v>0</v>
      </c>
      <c r="S136" s="53"/>
      <c r="T136" s="55"/>
      <c r="U136" s="56"/>
      <c r="V136" s="50">
        <f t="shared" si="5"/>
        <v>0</v>
      </c>
      <c r="Y136" s="51">
        <f t="shared" si="7"/>
        <v>0</v>
      </c>
      <c r="Z136" s="51">
        <f t="shared" si="8"/>
        <v>0</v>
      </c>
      <c r="AA136" s="51">
        <f t="shared" si="9"/>
        <v>0</v>
      </c>
      <c r="AB136" s="51" t="str">
        <f t="shared" si="10"/>
        <v/>
      </c>
      <c r="AC136" s="51" t="str">
        <f t="shared" si="10"/>
        <v/>
      </c>
    </row>
    <row r="137" spans="1:29" s="51" customFormat="1" ht="33.75" customHeight="1">
      <c r="A137" s="52">
        <v>116</v>
      </c>
      <c r="B137" s="342"/>
      <c r="C137" s="343"/>
      <c r="D137" s="344"/>
      <c r="E137" s="45"/>
      <c r="F137" s="53"/>
      <c r="G137" s="53"/>
      <c r="H137" s="53"/>
      <c r="I137" s="53"/>
      <c r="J137" s="169"/>
      <c r="K137" s="162"/>
      <c r="L137" s="166">
        <f t="shared" si="11"/>
        <v>0</v>
      </c>
      <c r="M137" s="183" t="b">
        <v>0</v>
      </c>
      <c r="N137" s="478"/>
      <c r="O137" s="479"/>
      <c r="P137" s="479"/>
      <c r="Q137" s="480"/>
      <c r="R137" s="183" t="b">
        <v>0</v>
      </c>
      <c r="S137" s="53"/>
      <c r="T137" s="55"/>
      <c r="U137" s="56"/>
      <c r="V137" s="50">
        <f t="shared" si="5"/>
        <v>0</v>
      </c>
      <c r="Y137" s="51">
        <f t="shared" si="7"/>
        <v>0</v>
      </c>
      <c r="Z137" s="51">
        <f t="shared" si="8"/>
        <v>0</v>
      </c>
      <c r="AA137" s="51">
        <f t="shared" si="9"/>
        <v>0</v>
      </c>
      <c r="AB137" s="51" t="str">
        <f t="shared" si="10"/>
        <v/>
      </c>
      <c r="AC137" s="51" t="str">
        <f t="shared" si="10"/>
        <v/>
      </c>
    </row>
    <row r="138" spans="1:29" s="51" customFormat="1" ht="33.75" customHeight="1">
      <c r="A138" s="52">
        <v>117</v>
      </c>
      <c r="B138" s="342"/>
      <c r="C138" s="343"/>
      <c r="D138" s="344"/>
      <c r="E138" s="45"/>
      <c r="F138" s="53"/>
      <c r="G138" s="53"/>
      <c r="H138" s="53"/>
      <c r="I138" s="53"/>
      <c r="J138" s="169"/>
      <c r="K138" s="162"/>
      <c r="L138" s="166">
        <f t="shared" si="11"/>
        <v>0</v>
      </c>
      <c r="M138" s="183" t="b">
        <v>0</v>
      </c>
      <c r="N138" s="478"/>
      <c r="O138" s="479"/>
      <c r="P138" s="479"/>
      <c r="Q138" s="480"/>
      <c r="R138" s="183" t="b">
        <v>0</v>
      </c>
      <c r="S138" s="53"/>
      <c r="T138" s="55"/>
      <c r="U138" s="56"/>
      <c r="V138" s="50">
        <f t="shared" si="5"/>
        <v>0</v>
      </c>
      <c r="Y138" s="51">
        <f t="shared" si="7"/>
        <v>0</v>
      </c>
      <c r="Z138" s="51">
        <f t="shared" si="8"/>
        <v>0</v>
      </c>
      <c r="AA138" s="51">
        <f t="shared" si="9"/>
        <v>0</v>
      </c>
      <c r="AB138" s="51" t="str">
        <f t="shared" si="10"/>
        <v/>
      </c>
      <c r="AC138" s="51" t="str">
        <f t="shared" si="10"/>
        <v/>
      </c>
    </row>
    <row r="139" spans="1:29" s="51" customFormat="1" ht="33.75" customHeight="1">
      <c r="A139" s="52">
        <v>118</v>
      </c>
      <c r="B139" s="342"/>
      <c r="C139" s="343"/>
      <c r="D139" s="344"/>
      <c r="E139" s="45"/>
      <c r="F139" s="53"/>
      <c r="G139" s="53"/>
      <c r="H139" s="53"/>
      <c r="I139" s="53"/>
      <c r="J139" s="169"/>
      <c r="K139" s="162"/>
      <c r="L139" s="166">
        <f t="shared" si="11"/>
        <v>0</v>
      </c>
      <c r="M139" s="183" t="b">
        <v>0</v>
      </c>
      <c r="N139" s="478"/>
      <c r="O139" s="479"/>
      <c r="P139" s="479"/>
      <c r="Q139" s="480"/>
      <c r="R139" s="183" t="b">
        <v>0</v>
      </c>
      <c r="S139" s="53"/>
      <c r="T139" s="55"/>
      <c r="U139" s="56"/>
      <c r="V139" s="50">
        <f t="shared" si="5"/>
        <v>0</v>
      </c>
      <c r="Y139" s="51">
        <f t="shared" si="7"/>
        <v>0</v>
      </c>
      <c r="Z139" s="51">
        <f t="shared" si="8"/>
        <v>0</v>
      </c>
      <c r="AA139" s="51">
        <f t="shared" si="9"/>
        <v>0</v>
      </c>
      <c r="AB139" s="51" t="str">
        <f t="shared" si="10"/>
        <v/>
      </c>
      <c r="AC139" s="51" t="str">
        <f t="shared" si="10"/>
        <v/>
      </c>
    </row>
    <row r="140" spans="1:29" s="51" customFormat="1" ht="33.75" customHeight="1">
      <c r="A140" s="52">
        <v>119</v>
      </c>
      <c r="B140" s="342"/>
      <c r="C140" s="343"/>
      <c r="D140" s="344"/>
      <c r="E140" s="45"/>
      <c r="F140" s="53"/>
      <c r="G140" s="53"/>
      <c r="H140" s="53"/>
      <c r="I140" s="53"/>
      <c r="J140" s="169"/>
      <c r="K140" s="162"/>
      <c r="L140" s="166">
        <f t="shared" si="11"/>
        <v>0</v>
      </c>
      <c r="M140" s="183" t="b">
        <v>0</v>
      </c>
      <c r="N140" s="478"/>
      <c r="O140" s="479"/>
      <c r="P140" s="479"/>
      <c r="Q140" s="480"/>
      <c r="R140" s="183" t="b">
        <v>0</v>
      </c>
      <c r="S140" s="53"/>
      <c r="T140" s="55"/>
      <c r="U140" s="56"/>
      <c r="V140" s="50">
        <f t="shared" si="5"/>
        <v>0</v>
      </c>
      <c r="Y140" s="51">
        <f t="shared" si="7"/>
        <v>0</v>
      </c>
      <c r="Z140" s="51">
        <f t="shared" si="8"/>
        <v>0</v>
      </c>
      <c r="AA140" s="51">
        <f t="shared" si="9"/>
        <v>0</v>
      </c>
      <c r="AB140" s="51" t="str">
        <f t="shared" si="10"/>
        <v/>
      </c>
      <c r="AC140" s="51" t="str">
        <f t="shared" si="10"/>
        <v/>
      </c>
    </row>
    <row r="141" spans="1:29" s="51" customFormat="1" ht="33.75" customHeight="1">
      <c r="A141" s="52">
        <v>120</v>
      </c>
      <c r="B141" s="342"/>
      <c r="C141" s="343"/>
      <c r="D141" s="344"/>
      <c r="E141" s="45"/>
      <c r="F141" s="53"/>
      <c r="G141" s="53"/>
      <c r="H141" s="53"/>
      <c r="I141" s="53"/>
      <c r="J141" s="169"/>
      <c r="K141" s="162"/>
      <c r="L141" s="166">
        <f t="shared" si="11"/>
        <v>0</v>
      </c>
      <c r="M141" s="183" t="b">
        <v>0</v>
      </c>
      <c r="N141" s="478"/>
      <c r="O141" s="479"/>
      <c r="P141" s="479"/>
      <c r="Q141" s="480"/>
      <c r="R141" s="183" t="b">
        <v>0</v>
      </c>
      <c r="S141" s="53"/>
      <c r="T141" s="55"/>
      <c r="U141" s="56"/>
      <c r="V141" s="50">
        <f t="shared" si="5"/>
        <v>0</v>
      </c>
      <c r="Y141" s="51">
        <f t="shared" si="7"/>
        <v>0</v>
      </c>
      <c r="Z141" s="51">
        <f t="shared" si="8"/>
        <v>0</v>
      </c>
      <c r="AA141" s="51">
        <f t="shared" si="9"/>
        <v>0</v>
      </c>
      <c r="AB141" s="51" t="str">
        <f t="shared" si="10"/>
        <v/>
      </c>
      <c r="AC141" s="51" t="str">
        <f t="shared" si="10"/>
        <v/>
      </c>
    </row>
    <row r="142" spans="1:29" s="51" customFormat="1" ht="33.75" customHeight="1">
      <c r="A142" s="52">
        <v>121</v>
      </c>
      <c r="B142" s="342"/>
      <c r="C142" s="343"/>
      <c r="D142" s="344"/>
      <c r="E142" s="45"/>
      <c r="F142" s="53"/>
      <c r="G142" s="53"/>
      <c r="H142" s="53"/>
      <c r="I142" s="53"/>
      <c r="J142" s="169"/>
      <c r="K142" s="162"/>
      <c r="L142" s="166">
        <f t="shared" si="11"/>
        <v>0</v>
      </c>
      <c r="M142" s="183" t="b">
        <v>0</v>
      </c>
      <c r="N142" s="478"/>
      <c r="O142" s="479"/>
      <c r="P142" s="479"/>
      <c r="Q142" s="480"/>
      <c r="R142" s="183" t="b">
        <v>0</v>
      </c>
      <c r="S142" s="53"/>
      <c r="T142" s="55"/>
      <c r="U142" s="56"/>
      <c r="V142" s="50">
        <f t="shared" si="5"/>
        <v>0</v>
      </c>
      <c r="Y142" s="51">
        <f t="shared" si="7"/>
        <v>0</v>
      </c>
      <c r="Z142" s="51">
        <f t="shared" si="8"/>
        <v>0</v>
      </c>
      <c r="AA142" s="51">
        <f t="shared" si="9"/>
        <v>0</v>
      </c>
      <c r="AB142" s="51" t="str">
        <f t="shared" si="10"/>
        <v/>
      </c>
      <c r="AC142" s="51" t="str">
        <f t="shared" si="10"/>
        <v/>
      </c>
    </row>
    <row r="143" spans="1:29" s="51" customFormat="1" ht="33.75" customHeight="1">
      <c r="A143" s="52">
        <v>122</v>
      </c>
      <c r="B143" s="342"/>
      <c r="C143" s="343"/>
      <c r="D143" s="344"/>
      <c r="E143" s="45"/>
      <c r="F143" s="53"/>
      <c r="G143" s="53"/>
      <c r="H143" s="53"/>
      <c r="I143" s="53"/>
      <c r="J143" s="169"/>
      <c r="K143" s="162"/>
      <c r="L143" s="166">
        <f t="shared" si="11"/>
        <v>0</v>
      </c>
      <c r="M143" s="183" t="b">
        <v>0</v>
      </c>
      <c r="N143" s="478"/>
      <c r="O143" s="479"/>
      <c r="P143" s="479"/>
      <c r="Q143" s="480"/>
      <c r="R143" s="183" t="b">
        <v>0</v>
      </c>
      <c r="S143" s="53"/>
      <c r="T143" s="55"/>
      <c r="U143" s="56"/>
      <c r="V143" s="50">
        <f t="shared" si="5"/>
        <v>0</v>
      </c>
      <c r="Y143" s="51">
        <f t="shared" si="7"/>
        <v>0</v>
      </c>
      <c r="Z143" s="51">
        <f t="shared" si="8"/>
        <v>0</v>
      </c>
      <c r="AA143" s="51">
        <f t="shared" si="9"/>
        <v>0</v>
      </c>
      <c r="AB143" s="51" t="str">
        <f t="shared" si="10"/>
        <v/>
      </c>
      <c r="AC143" s="51" t="str">
        <f t="shared" si="10"/>
        <v/>
      </c>
    </row>
    <row r="144" spans="1:29" s="51" customFormat="1" ht="33.75" customHeight="1">
      <c r="A144" s="52">
        <v>123</v>
      </c>
      <c r="B144" s="342"/>
      <c r="C144" s="343"/>
      <c r="D144" s="344"/>
      <c r="E144" s="45"/>
      <c r="F144" s="53"/>
      <c r="G144" s="53"/>
      <c r="H144" s="53"/>
      <c r="I144" s="53"/>
      <c r="J144" s="169"/>
      <c r="K144" s="162"/>
      <c r="L144" s="166">
        <f t="shared" si="11"/>
        <v>0</v>
      </c>
      <c r="M144" s="183" t="b">
        <v>0</v>
      </c>
      <c r="N144" s="478"/>
      <c r="O144" s="479"/>
      <c r="P144" s="479"/>
      <c r="Q144" s="480"/>
      <c r="R144" s="183" t="b">
        <v>0</v>
      </c>
      <c r="S144" s="53"/>
      <c r="T144" s="55"/>
      <c r="U144" s="56"/>
      <c r="V144" s="50">
        <f t="shared" si="5"/>
        <v>0</v>
      </c>
      <c r="Y144" s="51">
        <f t="shared" si="7"/>
        <v>0</v>
      </c>
      <c r="Z144" s="51">
        <f t="shared" si="8"/>
        <v>0</v>
      </c>
      <c r="AA144" s="51">
        <f t="shared" si="9"/>
        <v>0</v>
      </c>
      <c r="AB144" s="51" t="str">
        <f t="shared" si="10"/>
        <v/>
      </c>
      <c r="AC144" s="51" t="str">
        <f t="shared" si="10"/>
        <v/>
      </c>
    </row>
    <row r="145" spans="1:29" s="51" customFormat="1" ht="33.75" customHeight="1">
      <c r="A145" s="52">
        <v>124</v>
      </c>
      <c r="B145" s="342"/>
      <c r="C145" s="343"/>
      <c r="D145" s="344"/>
      <c r="E145" s="45"/>
      <c r="F145" s="53"/>
      <c r="G145" s="53"/>
      <c r="H145" s="53"/>
      <c r="I145" s="53"/>
      <c r="J145" s="169"/>
      <c r="K145" s="162"/>
      <c r="L145" s="166">
        <f t="shared" si="11"/>
        <v>0</v>
      </c>
      <c r="M145" s="183" t="b">
        <v>0</v>
      </c>
      <c r="N145" s="478"/>
      <c r="O145" s="479"/>
      <c r="P145" s="479"/>
      <c r="Q145" s="480"/>
      <c r="R145" s="183" t="b">
        <v>0</v>
      </c>
      <c r="S145" s="53"/>
      <c r="T145" s="55"/>
      <c r="U145" s="56"/>
      <c r="V145" s="50">
        <f t="shared" si="5"/>
        <v>0</v>
      </c>
      <c r="Y145" s="51">
        <f t="shared" si="7"/>
        <v>0</v>
      </c>
      <c r="Z145" s="51">
        <f t="shared" si="8"/>
        <v>0</v>
      </c>
      <c r="AA145" s="51">
        <f t="shared" si="9"/>
        <v>0</v>
      </c>
      <c r="AB145" s="51" t="str">
        <f t="shared" si="10"/>
        <v/>
      </c>
      <c r="AC145" s="51" t="str">
        <f t="shared" si="10"/>
        <v/>
      </c>
    </row>
    <row r="146" spans="1:29" s="51" customFormat="1" ht="33.75" customHeight="1">
      <c r="A146" s="52">
        <v>125</v>
      </c>
      <c r="B146" s="342"/>
      <c r="C146" s="343"/>
      <c r="D146" s="344"/>
      <c r="E146" s="45"/>
      <c r="F146" s="53"/>
      <c r="G146" s="53"/>
      <c r="H146" s="53"/>
      <c r="I146" s="53"/>
      <c r="J146" s="169"/>
      <c r="K146" s="162"/>
      <c r="L146" s="166">
        <f t="shared" si="11"/>
        <v>0</v>
      </c>
      <c r="M146" s="183" t="b">
        <v>0</v>
      </c>
      <c r="N146" s="478"/>
      <c r="O146" s="479"/>
      <c r="P146" s="479"/>
      <c r="Q146" s="480"/>
      <c r="R146" s="183" t="b">
        <v>0</v>
      </c>
      <c r="S146" s="53"/>
      <c r="T146" s="55"/>
      <c r="U146" s="56"/>
      <c r="V146" s="50">
        <f t="shared" si="5"/>
        <v>0</v>
      </c>
      <c r="Y146" s="51">
        <f t="shared" si="7"/>
        <v>0</v>
      </c>
      <c r="Z146" s="51">
        <f t="shared" si="8"/>
        <v>0</v>
      </c>
      <c r="AA146" s="51">
        <f t="shared" si="9"/>
        <v>0</v>
      </c>
      <c r="AB146" s="51" t="str">
        <f t="shared" si="10"/>
        <v/>
      </c>
      <c r="AC146" s="51" t="str">
        <f t="shared" si="10"/>
        <v/>
      </c>
    </row>
    <row r="147" spans="1:29" s="51" customFormat="1" ht="33.75" customHeight="1">
      <c r="A147" s="52">
        <v>126</v>
      </c>
      <c r="B147" s="342"/>
      <c r="C147" s="343"/>
      <c r="D147" s="344"/>
      <c r="E147" s="45"/>
      <c r="F147" s="53"/>
      <c r="G147" s="53"/>
      <c r="H147" s="53"/>
      <c r="I147" s="53"/>
      <c r="J147" s="169"/>
      <c r="K147" s="162"/>
      <c r="L147" s="166">
        <f t="shared" si="11"/>
        <v>0</v>
      </c>
      <c r="M147" s="183" t="b">
        <v>0</v>
      </c>
      <c r="N147" s="478"/>
      <c r="O147" s="479"/>
      <c r="P147" s="479"/>
      <c r="Q147" s="480"/>
      <c r="R147" s="183" t="b">
        <v>0</v>
      </c>
      <c r="S147" s="53"/>
      <c r="T147" s="55"/>
      <c r="U147" s="56"/>
      <c r="V147" s="50">
        <f t="shared" si="5"/>
        <v>0</v>
      </c>
      <c r="Y147" s="51">
        <f t="shared" si="7"/>
        <v>0</v>
      </c>
      <c r="Z147" s="51">
        <f t="shared" si="8"/>
        <v>0</v>
      </c>
      <c r="AA147" s="51">
        <f t="shared" si="9"/>
        <v>0</v>
      </c>
      <c r="AB147" s="51" t="str">
        <f t="shared" si="10"/>
        <v/>
      </c>
      <c r="AC147" s="51" t="str">
        <f t="shared" si="10"/>
        <v/>
      </c>
    </row>
    <row r="148" spans="1:29" s="51" customFormat="1" ht="33.75" customHeight="1">
      <c r="A148" s="52">
        <v>127</v>
      </c>
      <c r="B148" s="342"/>
      <c r="C148" s="343"/>
      <c r="D148" s="344"/>
      <c r="E148" s="45"/>
      <c r="F148" s="53"/>
      <c r="G148" s="53"/>
      <c r="H148" s="53"/>
      <c r="I148" s="53"/>
      <c r="J148" s="169"/>
      <c r="K148" s="162"/>
      <c r="L148" s="166">
        <f t="shared" si="11"/>
        <v>0</v>
      </c>
      <c r="M148" s="183" t="b">
        <v>0</v>
      </c>
      <c r="N148" s="478"/>
      <c r="O148" s="479"/>
      <c r="P148" s="479"/>
      <c r="Q148" s="480"/>
      <c r="R148" s="183" t="b">
        <v>0</v>
      </c>
      <c r="S148" s="53"/>
      <c r="T148" s="55"/>
      <c r="U148" s="56"/>
      <c r="V148" s="50">
        <f t="shared" si="5"/>
        <v>0</v>
      </c>
      <c r="Y148" s="51">
        <f t="shared" si="7"/>
        <v>0</v>
      </c>
      <c r="Z148" s="51">
        <f t="shared" si="8"/>
        <v>0</v>
      </c>
      <c r="AA148" s="51">
        <f t="shared" si="9"/>
        <v>0</v>
      </c>
      <c r="AB148" s="51" t="str">
        <f t="shared" si="10"/>
        <v/>
      </c>
      <c r="AC148" s="51" t="str">
        <f t="shared" si="10"/>
        <v/>
      </c>
    </row>
    <row r="149" spans="1:29" s="51" customFormat="1" ht="33.75" customHeight="1">
      <c r="A149" s="52">
        <v>128</v>
      </c>
      <c r="B149" s="342"/>
      <c r="C149" s="343"/>
      <c r="D149" s="344"/>
      <c r="E149" s="45"/>
      <c r="F149" s="53"/>
      <c r="G149" s="53"/>
      <c r="H149" s="53"/>
      <c r="I149" s="53"/>
      <c r="J149" s="169"/>
      <c r="K149" s="162"/>
      <c r="L149" s="166">
        <f t="shared" si="11"/>
        <v>0</v>
      </c>
      <c r="M149" s="183" t="b">
        <v>0</v>
      </c>
      <c r="N149" s="478"/>
      <c r="O149" s="479"/>
      <c r="P149" s="479"/>
      <c r="Q149" s="480"/>
      <c r="R149" s="183" t="b">
        <v>0</v>
      </c>
      <c r="S149" s="53"/>
      <c r="T149" s="55"/>
      <c r="U149" s="56"/>
      <c r="V149" s="50">
        <f t="shared" si="5"/>
        <v>0</v>
      </c>
      <c r="Y149" s="51">
        <f t="shared" si="7"/>
        <v>0</v>
      </c>
      <c r="Z149" s="51">
        <f t="shared" si="8"/>
        <v>0</v>
      </c>
      <c r="AA149" s="51">
        <f t="shared" si="9"/>
        <v>0</v>
      </c>
      <c r="AB149" s="51" t="str">
        <f t="shared" si="10"/>
        <v/>
      </c>
      <c r="AC149" s="51" t="str">
        <f t="shared" si="10"/>
        <v/>
      </c>
    </row>
    <row r="150" spans="1:29" s="51" customFormat="1" ht="33.75" customHeight="1">
      <c r="A150" s="52">
        <v>129</v>
      </c>
      <c r="B150" s="342"/>
      <c r="C150" s="343"/>
      <c r="D150" s="344"/>
      <c r="E150" s="45"/>
      <c r="F150" s="53"/>
      <c r="G150" s="53"/>
      <c r="H150" s="53"/>
      <c r="I150" s="53"/>
      <c r="J150" s="169"/>
      <c r="K150" s="162"/>
      <c r="L150" s="166">
        <f t="shared" si="11"/>
        <v>0</v>
      </c>
      <c r="M150" s="183" t="b">
        <v>0</v>
      </c>
      <c r="N150" s="478"/>
      <c r="O150" s="479"/>
      <c r="P150" s="479"/>
      <c r="Q150" s="480"/>
      <c r="R150" s="183" t="b">
        <v>0</v>
      </c>
      <c r="S150" s="53"/>
      <c r="T150" s="55"/>
      <c r="U150" s="56"/>
      <c r="V150" s="50">
        <f t="shared" ref="V150:V213" si="12">MAX(F150:I150)</f>
        <v>0</v>
      </c>
      <c r="Y150" s="51">
        <f t="shared" si="7"/>
        <v>0</v>
      </c>
      <c r="Z150" s="51">
        <f t="shared" si="8"/>
        <v>0</v>
      </c>
      <c r="AA150" s="51">
        <f t="shared" si="9"/>
        <v>0</v>
      </c>
      <c r="AB150" s="51" t="str">
        <f t="shared" si="10"/>
        <v/>
      </c>
      <c r="AC150" s="51" t="str">
        <f t="shared" ref="AC150" si="13">IF(I150="","",IF($E150="男",1,IF($E150="女",2,"")))</f>
        <v/>
      </c>
    </row>
    <row r="151" spans="1:29" s="51" customFormat="1" ht="33.75" customHeight="1">
      <c r="A151" s="52">
        <v>130</v>
      </c>
      <c r="B151" s="342"/>
      <c r="C151" s="343"/>
      <c r="D151" s="344"/>
      <c r="E151" s="45"/>
      <c r="F151" s="53"/>
      <c r="G151" s="53"/>
      <c r="H151" s="53"/>
      <c r="I151" s="53"/>
      <c r="J151" s="169"/>
      <c r="K151" s="162"/>
      <c r="L151" s="166">
        <f t="shared" ref="L151:L214" si="14">COUNT(F151:I151)</f>
        <v>0</v>
      </c>
      <c r="M151" s="183" t="b">
        <v>0</v>
      </c>
      <c r="N151" s="478"/>
      <c r="O151" s="479"/>
      <c r="P151" s="479"/>
      <c r="Q151" s="480"/>
      <c r="R151" s="183" t="b">
        <v>0</v>
      </c>
      <c r="S151" s="53"/>
      <c r="T151" s="55"/>
      <c r="U151" s="56"/>
      <c r="V151" s="50">
        <f t="shared" si="12"/>
        <v>0</v>
      </c>
      <c r="Y151" s="51">
        <f t="shared" ref="Y151:Y214" si="15">MAX(F151:I151)</f>
        <v>0</v>
      </c>
      <c r="Z151" s="51">
        <f t="shared" ref="Z151:Z214" si="16">COUNTA(F151:I151)</f>
        <v>0</v>
      </c>
      <c r="AA151" s="51">
        <f t="shared" ref="AA151:AA214" si="17">COUNTA($J151)</f>
        <v>0</v>
      </c>
      <c r="AB151" s="51" t="str">
        <f t="shared" ref="AB151:AC214" si="18">IF(H151="","",IF($E151="男",1,IF($E151="女",2,"")))</f>
        <v/>
      </c>
      <c r="AC151" s="51" t="str">
        <f t="shared" si="18"/>
        <v/>
      </c>
    </row>
    <row r="152" spans="1:29" s="51" customFormat="1" ht="33.75" customHeight="1">
      <c r="A152" s="52">
        <v>131</v>
      </c>
      <c r="B152" s="342"/>
      <c r="C152" s="343"/>
      <c r="D152" s="344"/>
      <c r="E152" s="45"/>
      <c r="F152" s="53"/>
      <c r="G152" s="53"/>
      <c r="H152" s="53"/>
      <c r="I152" s="53"/>
      <c r="J152" s="169"/>
      <c r="K152" s="162"/>
      <c r="L152" s="166">
        <f t="shared" si="14"/>
        <v>0</v>
      </c>
      <c r="M152" s="183" t="b">
        <v>0</v>
      </c>
      <c r="N152" s="478"/>
      <c r="O152" s="479"/>
      <c r="P152" s="479"/>
      <c r="Q152" s="480"/>
      <c r="R152" s="183" t="b">
        <v>0</v>
      </c>
      <c r="S152" s="53"/>
      <c r="T152" s="55"/>
      <c r="U152" s="56"/>
      <c r="V152" s="50">
        <f t="shared" si="12"/>
        <v>0</v>
      </c>
      <c r="Y152" s="51">
        <f t="shared" si="15"/>
        <v>0</v>
      </c>
      <c r="Z152" s="51">
        <f t="shared" si="16"/>
        <v>0</v>
      </c>
      <c r="AA152" s="51">
        <f t="shared" si="17"/>
        <v>0</v>
      </c>
      <c r="AB152" s="51" t="str">
        <f t="shared" si="18"/>
        <v/>
      </c>
      <c r="AC152" s="51" t="str">
        <f t="shared" si="18"/>
        <v/>
      </c>
    </row>
    <row r="153" spans="1:29" s="51" customFormat="1" ht="33.75" customHeight="1">
      <c r="A153" s="52">
        <v>132</v>
      </c>
      <c r="B153" s="342"/>
      <c r="C153" s="343"/>
      <c r="D153" s="344"/>
      <c r="E153" s="45"/>
      <c r="F153" s="53"/>
      <c r="G153" s="53"/>
      <c r="H153" s="53"/>
      <c r="I153" s="53"/>
      <c r="J153" s="169"/>
      <c r="K153" s="162"/>
      <c r="L153" s="166">
        <f t="shared" si="14"/>
        <v>0</v>
      </c>
      <c r="M153" s="183" t="b">
        <v>0</v>
      </c>
      <c r="N153" s="478"/>
      <c r="O153" s="479"/>
      <c r="P153" s="479"/>
      <c r="Q153" s="480"/>
      <c r="R153" s="183" t="b">
        <v>0</v>
      </c>
      <c r="S153" s="53"/>
      <c r="T153" s="55"/>
      <c r="U153" s="56"/>
      <c r="V153" s="50">
        <f t="shared" si="12"/>
        <v>0</v>
      </c>
      <c r="Y153" s="51">
        <f t="shared" si="15"/>
        <v>0</v>
      </c>
      <c r="Z153" s="51">
        <f t="shared" si="16"/>
        <v>0</v>
      </c>
      <c r="AA153" s="51">
        <f t="shared" si="17"/>
        <v>0</v>
      </c>
      <c r="AB153" s="51" t="str">
        <f t="shared" si="18"/>
        <v/>
      </c>
      <c r="AC153" s="51" t="str">
        <f t="shared" si="18"/>
        <v/>
      </c>
    </row>
    <row r="154" spans="1:29" s="51" customFormat="1" ht="33.75" customHeight="1">
      <c r="A154" s="52">
        <v>133</v>
      </c>
      <c r="B154" s="342"/>
      <c r="C154" s="343"/>
      <c r="D154" s="344"/>
      <c r="E154" s="45"/>
      <c r="F154" s="53"/>
      <c r="G154" s="53"/>
      <c r="H154" s="53"/>
      <c r="I154" s="53"/>
      <c r="J154" s="169"/>
      <c r="K154" s="162"/>
      <c r="L154" s="166">
        <f t="shared" si="14"/>
        <v>0</v>
      </c>
      <c r="M154" s="183" t="b">
        <v>0</v>
      </c>
      <c r="N154" s="478"/>
      <c r="O154" s="479"/>
      <c r="P154" s="479"/>
      <c r="Q154" s="480"/>
      <c r="R154" s="183" t="b">
        <v>0</v>
      </c>
      <c r="S154" s="53"/>
      <c r="T154" s="55"/>
      <c r="U154" s="56"/>
      <c r="V154" s="50">
        <f t="shared" si="12"/>
        <v>0</v>
      </c>
      <c r="Y154" s="51">
        <f t="shared" si="15"/>
        <v>0</v>
      </c>
      <c r="Z154" s="51">
        <f t="shared" si="16"/>
        <v>0</v>
      </c>
      <c r="AA154" s="51">
        <f t="shared" si="17"/>
        <v>0</v>
      </c>
      <c r="AB154" s="51" t="str">
        <f t="shared" si="18"/>
        <v/>
      </c>
      <c r="AC154" s="51" t="str">
        <f t="shared" si="18"/>
        <v/>
      </c>
    </row>
    <row r="155" spans="1:29" s="51" customFormat="1" ht="33.75" customHeight="1">
      <c r="A155" s="52">
        <v>134</v>
      </c>
      <c r="B155" s="342"/>
      <c r="C155" s="343"/>
      <c r="D155" s="344"/>
      <c r="E155" s="45"/>
      <c r="F155" s="53"/>
      <c r="G155" s="53"/>
      <c r="H155" s="53"/>
      <c r="I155" s="53"/>
      <c r="J155" s="169"/>
      <c r="K155" s="162"/>
      <c r="L155" s="166">
        <f t="shared" si="14"/>
        <v>0</v>
      </c>
      <c r="M155" s="183" t="b">
        <v>0</v>
      </c>
      <c r="N155" s="478"/>
      <c r="O155" s="479"/>
      <c r="P155" s="479"/>
      <c r="Q155" s="480"/>
      <c r="R155" s="183" t="b">
        <v>0</v>
      </c>
      <c r="S155" s="53"/>
      <c r="T155" s="55"/>
      <c r="U155" s="56"/>
      <c r="V155" s="50">
        <f t="shared" si="12"/>
        <v>0</v>
      </c>
      <c r="Y155" s="51">
        <f t="shared" si="15"/>
        <v>0</v>
      </c>
      <c r="Z155" s="51">
        <f t="shared" si="16"/>
        <v>0</v>
      </c>
      <c r="AA155" s="51">
        <f t="shared" si="17"/>
        <v>0</v>
      </c>
      <c r="AB155" s="51" t="str">
        <f t="shared" si="18"/>
        <v/>
      </c>
      <c r="AC155" s="51" t="str">
        <f t="shared" si="18"/>
        <v/>
      </c>
    </row>
    <row r="156" spans="1:29" s="51" customFormat="1" ht="33.75" customHeight="1">
      <c r="A156" s="52">
        <v>135</v>
      </c>
      <c r="B156" s="342"/>
      <c r="C156" s="343"/>
      <c r="D156" s="344"/>
      <c r="E156" s="45"/>
      <c r="F156" s="53"/>
      <c r="G156" s="53"/>
      <c r="H156" s="53"/>
      <c r="I156" s="53"/>
      <c r="J156" s="169"/>
      <c r="K156" s="162"/>
      <c r="L156" s="166">
        <f t="shared" si="14"/>
        <v>0</v>
      </c>
      <c r="M156" s="183" t="b">
        <v>0</v>
      </c>
      <c r="N156" s="478"/>
      <c r="O156" s="479"/>
      <c r="P156" s="479"/>
      <c r="Q156" s="480"/>
      <c r="R156" s="183" t="b">
        <v>0</v>
      </c>
      <c r="S156" s="53"/>
      <c r="T156" s="55"/>
      <c r="U156" s="56"/>
      <c r="V156" s="50">
        <f t="shared" si="12"/>
        <v>0</v>
      </c>
      <c r="Y156" s="51">
        <f t="shared" si="15"/>
        <v>0</v>
      </c>
      <c r="Z156" s="51">
        <f t="shared" si="16"/>
        <v>0</v>
      </c>
      <c r="AA156" s="51">
        <f t="shared" si="17"/>
        <v>0</v>
      </c>
      <c r="AB156" s="51" t="str">
        <f t="shared" si="18"/>
        <v/>
      </c>
      <c r="AC156" s="51" t="str">
        <f t="shared" si="18"/>
        <v/>
      </c>
    </row>
    <row r="157" spans="1:29" s="51" customFormat="1" ht="33.75" customHeight="1">
      <c r="A157" s="52">
        <v>136</v>
      </c>
      <c r="B157" s="342"/>
      <c r="C157" s="343"/>
      <c r="D157" s="344"/>
      <c r="E157" s="45"/>
      <c r="F157" s="53"/>
      <c r="G157" s="53"/>
      <c r="H157" s="53"/>
      <c r="I157" s="53"/>
      <c r="J157" s="169"/>
      <c r="K157" s="162"/>
      <c r="L157" s="166">
        <f t="shared" si="14"/>
        <v>0</v>
      </c>
      <c r="M157" s="183" t="b">
        <v>0</v>
      </c>
      <c r="N157" s="478"/>
      <c r="O157" s="479"/>
      <c r="P157" s="479"/>
      <c r="Q157" s="480"/>
      <c r="R157" s="183" t="b">
        <v>0</v>
      </c>
      <c r="S157" s="53"/>
      <c r="T157" s="55"/>
      <c r="U157" s="56"/>
      <c r="V157" s="50">
        <f t="shared" si="12"/>
        <v>0</v>
      </c>
      <c r="Y157" s="51">
        <f t="shared" si="15"/>
        <v>0</v>
      </c>
      <c r="Z157" s="51">
        <f t="shared" si="16"/>
        <v>0</v>
      </c>
      <c r="AA157" s="51">
        <f t="shared" si="17"/>
        <v>0</v>
      </c>
      <c r="AB157" s="51" t="str">
        <f t="shared" si="18"/>
        <v/>
      </c>
      <c r="AC157" s="51" t="str">
        <f t="shared" si="18"/>
        <v/>
      </c>
    </row>
    <row r="158" spans="1:29" s="51" customFormat="1" ht="33.75" customHeight="1">
      <c r="A158" s="52">
        <v>137</v>
      </c>
      <c r="B158" s="342"/>
      <c r="C158" s="343"/>
      <c r="D158" s="344"/>
      <c r="E158" s="45"/>
      <c r="F158" s="53"/>
      <c r="G158" s="53"/>
      <c r="H158" s="53"/>
      <c r="I158" s="53"/>
      <c r="J158" s="169"/>
      <c r="K158" s="162"/>
      <c r="L158" s="166">
        <f t="shared" si="14"/>
        <v>0</v>
      </c>
      <c r="M158" s="183" t="b">
        <v>0</v>
      </c>
      <c r="N158" s="478"/>
      <c r="O158" s="479"/>
      <c r="P158" s="479"/>
      <c r="Q158" s="480"/>
      <c r="R158" s="183" t="b">
        <v>0</v>
      </c>
      <c r="S158" s="53"/>
      <c r="T158" s="55"/>
      <c r="U158" s="56"/>
      <c r="V158" s="50">
        <f t="shared" si="12"/>
        <v>0</v>
      </c>
      <c r="Y158" s="51">
        <f t="shared" si="15"/>
        <v>0</v>
      </c>
      <c r="Z158" s="51">
        <f t="shared" si="16"/>
        <v>0</v>
      </c>
      <c r="AA158" s="51">
        <f t="shared" si="17"/>
        <v>0</v>
      </c>
      <c r="AB158" s="51" t="str">
        <f t="shared" si="18"/>
        <v/>
      </c>
      <c r="AC158" s="51" t="str">
        <f t="shared" si="18"/>
        <v/>
      </c>
    </row>
    <row r="159" spans="1:29" s="51" customFormat="1" ht="33.75" customHeight="1">
      <c r="A159" s="52">
        <v>138</v>
      </c>
      <c r="B159" s="342"/>
      <c r="C159" s="343"/>
      <c r="D159" s="344"/>
      <c r="E159" s="45"/>
      <c r="F159" s="53"/>
      <c r="G159" s="53"/>
      <c r="H159" s="53"/>
      <c r="I159" s="53"/>
      <c r="J159" s="169"/>
      <c r="K159" s="162"/>
      <c r="L159" s="166">
        <f t="shared" si="14"/>
        <v>0</v>
      </c>
      <c r="M159" s="183" t="b">
        <v>0</v>
      </c>
      <c r="N159" s="478"/>
      <c r="O159" s="479"/>
      <c r="P159" s="479"/>
      <c r="Q159" s="480"/>
      <c r="R159" s="183" t="b">
        <v>0</v>
      </c>
      <c r="S159" s="53"/>
      <c r="T159" s="55"/>
      <c r="U159" s="56"/>
      <c r="V159" s="50">
        <f t="shared" si="12"/>
        <v>0</v>
      </c>
      <c r="Y159" s="51">
        <f t="shared" si="15"/>
        <v>0</v>
      </c>
      <c r="Z159" s="51">
        <f t="shared" si="16"/>
        <v>0</v>
      </c>
      <c r="AA159" s="51">
        <f t="shared" si="17"/>
        <v>0</v>
      </c>
      <c r="AB159" s="51" t="str">
        <f t="shared" si="18"/>
        <v/>
      </c>
      <c r="AC159" s="51" t="str">
        <f t="shared" si="18"/>
        <v/>
      </c>
    </row>
    <row r="160" spans="1:29" s="51" customFormat="1" ht="33.75" customHeight="1">
      <c r="A160" s="52">
        <v>139</v>
      </c>
      <c r="B160" s="342"/>
      <c r="C160" s="343"/>
      <c r="D160" s="344"/>
      <c r="E160" s="45"/>
      <c r="F160" s="53"/>
      <c r="G160" s="53"/>
      <c r="H160" s="53"/>
      <c r="I160" s="53"/>
      <c r="J160" s="169"/>
      <c r="K160" s="162"/>
      <c r="L160" s="166">
        <f t="shared" si="14"/>
        <v>0</v>
      </c>
      <c r="M160" s="183" t="b">
        <v>0</v>
      </c>
      <c r="N160" s="478"/>
      <c r="O160" s="479"/>
      <c r="P160" s="479"/>
      <c r="Q160" s="480"/>
      <c r="R160" s="183" t="b">
        <v>0</v>
      </c>
      <c r="S160" s="53"/>
      <c r="T160" s="55"/>
      <c r="U160" s="56"/>
      <c r="V160" s="50">
        <f t="shared" si="12"/>
        <v>0</v>
      </c>
      <c r="Y160" s="51">
        <f t="shared" si="15"/>
        <v>0</v>
      </c>
      <c r="Z160" s="51">
        <f t="shared" si="16"/>
        <v>0</v>
      </c>
      <c r="AA160" s="51">
        <f t="shared" si="17"/>
        <v>0</v>
      </c>
      <c r="AB160" s="51" t="str">
        <f t="shared" si="18"/>
        <v/>
      </c>
      <c r="AC160" s="51" t="str">
        <f t="shared" si="18"/>
        <v/>
      </c>
    </row>
    <row r="161" spans="1:29" s="51" customFormat="1" ht="33.75" customHeight="1">
      <c r="A161" s="52">
        <v>140</v>
      </c>
      <c r="B161" s="342"/>
      <c r="C161" s="343"/>
      <c r="D161" s="344"/>
      <c r="E161" s="45"/>
      <c r="F161" s="53"/>
      <c r="G161" s="53"/>
      <c r="H161" s="53"/>
      <c r="I161" s="53"/>
      <c r="J161" s="169"/>
      <c r="K161" s="162"/>
      <c r="L161" s="166">
        <f t="shared" si="14"/>
        <v>0</v>
      </c>
      <c r="M161" s="183" t="b">
        <v>0</v>
      </c>
      <c r="N161" s="478"/>
      <c r="O161" s="479"/>
      <c r="P161" s="479"/>
      <c r="Q161" s="480"/>
      <c r="R161" s="183" t="b">
        <v>0</v>
      </c>
      <c r="S161" s="53"/>
      <c r="T161" s="55"/>
      <c r="U161" s="56"/>
      <c r="V161" s="50">
        <f t="shared" si="12"/>
        <v>0</v>
      </c>
      <c r="Y161" s="51">
        <f t="shared" si="15"/>
        <v>0</v>
      </c>
      <c r="Z161" s="51">
        <f t="shared" si="16"/>
        <v>0</v>
      </c>
      <c r="AA161" s="51">
        <f t="shared" si="17"/>
        <v>0</v>
      </c>
      <c r="AB161" s="51" t="str">
        <f t="shared" si="18"/>
        <v/>
      </c>
      <c r="AC161" s="51" t="str">
        <f t="shared" si="18"/>
        <v/>
      </c>
    </row>
    <row r="162" spans="1:29" s="51" customFormat="1" ht="33.75" customHeight="1">
      <c r="A162" s="52">
        <v>141</v>
      </c>
      <c r="B162" s="342"/>
      <c r="C162" s="343"/>
      <c r="D162" s="344"/>
      <c r="E162" s="45"/>
      <c r="F162" s="53"/>
      <c r="G162" s="53"/>
      <c r="H162" s="53"/>
      <c r="I162" s="53"/>
      <c r="J162" s="169"/>
      <c r="K162" s="162"/>
      <c r="L162" s="166">
        <f t="shared" si="14"/>
        <v>0</v>
      </c>
      <c r="M162" s="183" t="b">
        <v>0</v>
      </c>
      <c r="N162" s="478"/>
      <c r="O162" s="479"/>
      <c r="P162" s="479"/>
      <c r="Q162" s="480"/>
      <c r="R162" s="183" t="b">
        <v>0</v>
      </c>
      <c r="S162" s="53"/>
      <c r="T162" s="55"/>
      <c r="U162" s="56"/>
      <c r="V162" s="50">
        <f t="shared" si="12"/>
        <v>0</v>
      </c>
      <c r="Y162" s="51">
        <f t="shared" si="15"/>
        <v>0</v>
      </c>
      <c r="Z162" s="51">
        <f t="shared" si="16"/>
        <v>0</v>
      </c>
      <c r="AA162" s="51">
        <f t="shared" si="17"/>
        <v>0</v>
      </c>
      <c r="AB162" s="51" t="str">
        <f t="shared" si="18"/>
        <v/>
      </c>
      <c r="AC162" s="51" t="str">
        <f t="shared" si="18"/>
        <v/>
      </c>
    </row>
    <row r="163" spans="1:29" s="51" customFormat="1" ht="33.75" customHeight="1">
      <c r="A163" s="52">
        <v>142</v>
      </c>
      <c r="B163" s="342"/>
      <c r="C163" s="343"/>
      <c r="D163" s="344"/>
      <c r="E163" s="45"/>
      <c r="F163" s="53"/>
      <c r="G163" s="53"/>
      <c r="H163" s="53"/>
      <c r="I163" s="53"/>
      <c r="J163" s="169"/>
      <c r="K163" s="162"/>
      <c r="L163" s="166">
        <f t="shared" si="14"/>
        <v>0</v>
      </c>
      <c r="M163" s="183" t="b">
        <v>0</v>
      </c>
      <c r="N163" s="478"/>
      <c r="O163" s="479"/>
      <c r="P163" s="479"/>
      <c r="Q163" s="480"/>
      <c r="R163" s="183" t="b">
        <v>0</v>
      </c>
      <c r="S163" s="53"/>
      <c r="T163" s="55"/>
      <c r="U163" s="56"/>
      <c r="V163" s="50">
        <f t="shared" si="12"/>
        <v>0</v>
      </c>
      <c r="Y163" s="51">
        <f t="shared" si="15"/>
        <v>0</v>
      </c>
      <c r="Z163" s="51">
        <f t="shared" si="16"/>
        <v>0</v>
      </c>
      <c r="AA163" s="51">
        <f t="shared" si="17"/>
        <v>0</v>
      </c>
      <c r="AB163" s="51" t="str">
        <f t="shared" si="18"/>
        <v/>
      </c>
      <c r="AC163" s="51" t="str">
        <f t="shared" si="18"/>
        <v/>
      </c>
    </row>
    <row r="164" spans="1:29" s="51" customFormat="1" ht="33.75" customHeight="1">
      <c r="A164" s="52">
        <v>143</v>
      </c>
      <c r="B164" s="342"/>
      <c r="C164" s="343"/>
      <c r="D164" s="344"/>
      <c r="E164" s="45"/>
      <c r="F164" s="53"/>
      <c r="G164" s="53"/>
      <c r="H164" s="53"/>
      <c r="I164" s="53"/>
      <c r="J164" s="169"/>
      <c r="K164" s="162"/>
      <c r="L164" s="166">
        <f t="shared" si="14"/>
        <v>0</v>
      </c>
      <c r="M164" s="183" t="b">
        <v>0</v>
      </c>
      <c r="N164" s="478"/>
      <c r="O164" s="479"/>
      <c r="P164" s="479"/>
      <c r="Q164" s="480"/>
      <c r="R164" s="183" t="b">
        <v>0</v>
      </c>
      <c r="S164" s="53"/>
      <c r="T164" s="55"/>
      <c r="U164" s="56"/>
      <c r="V164" s="50">
        <f t="shared" si="12"/>
        <v>0</v>
      </c>
      <c r="Y164" s="51">
        <f t="shared" si="15"/>
        <v>0</v>
      </c>
      <c r="Z164" s="51">
        <f t="shared" si="16"/>
        <v>0</v>
      </c>
      <c r="AA164" s="51">
        <f t="shared" si="17"/>
        <v>0</v>
      </c>
      <c r="AB164" s="51" t="str">
        <f t="shared" si="18"/>
        <v/>
      </c>
      <c r="AC164" s="51" t="str">
        <f t="shared" si="18"/>
        <v/>
      </c>
    </row>
    <row r="165" spans="1:29" s="51" customFormat="1" ht="33.75" customHeight="1">
      <c r="A165" s="52">
        <v>144</v>
      </c>
      <c r="B165" s="342"/>
      <c r="C165" s="343"/>
      <c r="D165" s="344"/>
      <c r="E165" s="45"/>
      <c r="F165" s="53"/>
      <c r="G165" s="53"/>
      <c r="H165" s="53"/>
      <c r="I165" s="53"/>
      <c r="J165" s="169"/>
      <c r="K165" s="162"/>
      <c r="L165" s="166">
        <f t="shared" si="14"/>
        <v>0</v>
      </c>
      <c r="M165" s="183" t="b">
        <v>0</v>
      </c>
      <c r="N165" s="478"/>
      <c r="O165" s="479"/>
      <c r="P165" s="479"/>
      <c r="Q165" s="480"/>
      <c r="R165" s="183" t="b">
        <v>0</v>
      </c>
      <c r="S165" s="53"/>
      <c r="T165" s="55"/>
      <c r="U165" s="56"/>
      <c r="V165" s="50">
        <f t="shared" si="12"/>
        <v>0</v>
      </c>
      <c r="Y165" s="51">
        <f t="shared" si="15"/>
        <v>0</v>
      </c>
      <c r="Z165" s="51">
        <f t="shared" si="16"/>
        <v>0</v>
      </c>
      <c r="AA165" s="51">
        <f t="shared" si="17"/>
        <v>0</v>
      </c>
      <c r="AB165" s="51" t="str">
        <f t="shared" si="18"/>
        <v/>
      </c>
      <c r="AC165" s="51" t="str">
        <f t="shared" si="18"/>
        <v/>
      </c>
    </row>
    <row r="166" spans="1:29" s="51" customFormat="1" ht="33.75" customHeight="1">
      <c r="A166" s="52">
        <v>145</v>
      </c>
      <c r="B166" s="342"/>
      <c r="C166" s="343"/>
      <c r="D166" s="344"/>
      <c r="E166" s="45"/>
      <c r="F166" s="53"/>
      <c r="G166" s="53"/>
      <c r="H166" s="53"/>
      <c r="I166" s="53"/>
      <c r="J166" s="169"/>
      <c r="K166" s="162"/>
      <c r="L166" s="166">
        <f t="shared" si="14"/>
        <v>0</v>
      </c>
      <c r="M166" s="183" t="b">
        <v>0</v>
      </c>
      <c r="N166" s="478"/>
      <c r="O166" s="479"/>
      <c r="P166" s="479"/>
      <c r="Q166" s="480"/>
      <c r="R166" s="183" t="b">
        <v>0</v>
      </c>
      <c r="S166" s="53"/>
      <c r="T166" s="55"/>
      <c r="U166" s="56"/>
      <c r="V166" s="50">
        <f t="shared" si="12"/>
        <v>0</v>
      </c>
      <c r="Y166" s="51">
        <f t="shared" si="15"/>
        <v>0</v>
      </c>
      <c r="Z166" s="51">
        <f t="shared" si="16"/>
        <v>0</v>
      </c>
      <c r="AA166" s="51">
        <f t="shared" si="17"/>
        <v>0</v>
      </c>
      <c r="AB166" s="51" t="str">
        <f t="shared" si="18"/>
        <v/>
      </c>
      <c r="AC166" s="51" t="str">
        <f t="shared" si="18"/>
        <v/>
      </c>
    </row>
    <row r="167" spans="1:29" s="51" customFormat="1" ht="33.75" customHeight="1">
      <c r="A167" s="52">
        <v>146</v>
      </c>
      <c r="B167" s="342"/>
      <c r="C167" s="343"/>
      <c r="D167" s="344"/>
      <c r="E167" s="45"/>
      <c r="F167" s="53"/>
      <c r="G167" s="53"/>
      <c r="H167" s="53"/>
      <c r="I167" s="53"/>
      <c r="J167" s="169"/>
      <c r="K167" s="162"/>
      <c r="L167" s="166">
        <f t="shared" si="14"/>
        <v>0</v>
      </c>
      <c r="M167" s="183" t="b">
        <v>0</v>
      </c>
      <c r="N167" s="478"/>
      <c r="O167" s="479"/>
      <c r="P167" s="479"/>
      <c r="Q167" s="480"/>
      <c r="R167" s="183" t="b">
        <v>0</v>
      </c>
      <c r="S167" s="53"/>
      <c r="T167" s="55"/>
      <c r="U167" s="56"/>
      <c r="V167" s="50">
        <f t="shared" si="12"/>
        <v>0</v>
      </c>
      <c r="Y167" s="51">
        <f t="shared" si="15"/>
        <v>0</v>
      </c>
      <c r="Z167" s="51">
        <f t="shared" si="16"/>
        <v>0</v>
      </c>
      <c r="AA167" s="51">
        <f t="shared" si="17"/>
        <v>0</v>
      </c>
      <c r="AB167" s="51" t="str">
        <f t="shared" si="18"/>
        <v/>
      </c>
      <c r="AC167" s="51" t="str">
        <f t="shared" si="18"/>
        <v/>
      </c>
    </row>
    <row r="168" spans="1:29" s="51" customFormat="1" ht="33.75" customHeight="1">
      <c r="A168" s="52">
        <v>147</v>
      </c>
      <c r="B168" s="342"/>
      <c r="C168" s="343"/>
      <c r="D168" s="344"/>
      <c r="E168" s="45"/>
      <c r="F168" s="53"/>
      <c r="G168" s="53"/>
      <c r="H168" s="53"/>
      <c r="I168" s="53"/>
      <c r="J168" s="169"/>
      <c r="K168" s="162"/>
      <c r="L168" s="166">
        <f t="shared" si="14"/>
        <v>0</v>
      </c>
      <c r="M168" s="183" t="b">
        <v>0</v>
      </c>
      <c r="N168" s="478"/>
      <c r="O168" s="479"/>
      <c r="P168" s="479"/>
      <c r="Q168" s="480"/>
      <c r="R168" s="183" t="b">
        <v>0</v>
      </c>
      <c r="S168" s="53"/>
      <c r="T168" s="55"/>
      <c r="U168" s="56"/>
      <c r="V168" s="50">
        <f t="shared" si="12"/>
        <v>0</v>
      </c>
      <c r="Y168" s="51">
        <f t="shared" si="15"/>
        <v>0</v>
      </c>
      <c r="Z168" s="51">
        <f t="shared" si="16"/>
        <v>0</v>
      </c>
      <c r="AA168" s="51">
        <f t="shared" si="17"/>
        <v>0</v>
      </c>
      <c r="AB168" s="51" t="str">
        <f t="shared" si="18"/>
        <v/>
      </c>
      <c r="AC168" s="51" t="str">
        <f t="shared" si="18"/>
        <v/>
      </c>
    </row>
    <row r="169" spans="1:29" s="51" customFormat="1" ht="33.75" customHeight="1">
      <c r="A169" s="52">
        <v>148</v>
      </c>
      <c r="B169" s="342"/>
      <c r="C169" s="343"/>
      <c r="D169" s="344"/>
      <c r="E169" s="45"/>
      <c r="F169" s="53"/>
      <c r="G169" s="53"/>
      <c r="H169" s="53"/>
      <c r="I169" s="53"/>
      <c r="J169" s="169"/>
      <c r="K169" s="162"/>
      <c r="L169" s="166">
        <f t="shared" si="14"/>
        <v>0</v>
      </c>
      <c r="M169" s="183" t="b">
        <v>0</v>
      </c>
      <c r="N169" s="478"/>
      <c r="O169" s="479"/>
      <c r="P169" s="479"/>
      <c r="Q169" s="480"/>
      <c r="R169" s="183" t="b">
        <v>0</v>
      </c>
      <c r="S169" s="53"/>
      <c r="T169" s="55"/>
      <c r="U169" s="56"/>
      <c r="V169" s="50">
        <f t="shared" si="12"/>
        <v>0</v>
      </c>
      <c r="Y169" s="51">
        <f t="shared" si="15"/>
        <v>0</v>
      </c>
      <c r="Z169" s="51">
        <f t="shared" si="16"/>
        <v>0</v>
      </c>
      <c r="AA169" s="51">
        <f t="shared" si="17"/>
        <v>0</v>
      </c>
      <c r="AB169" s="51" t="str">
        <f t="shared" si="18"/>
        <v/>
      </c>
      <c r="AC169" s="51" t="str">
        <f t="shared" si="18"/>
        <v/>
      </c>
    </row>
    <row r="170" spans="1:29" s="51" customFormat="1" ht="33.75" customHeight="1">
      <c r="A170" s="52">
        <v>149</v>
      </c>
      <c r="B170" s="342"/>
      <c r="C170" s="343"/>
      <c r="D170" s="344"/>
      <c r="E170" s="45"/>
      <c r="F170" s="53"/>
      <c r="G170" s="53"/>
      <c r="H170" s="53"/>
      <c r="I170" s="53"/>
      <c r="J170" s="169"/>
      <c r="K170" s="162"/>
      <c r="L170" s="166">
        <f t="shared" si="14"/>
        <v>0</v>
      </c>
      <c r="M170" s="183" t="b">
        <v>0</v>
      </c>
      <c r="N170" s="478"/>
      <c r="O170" s="479"/>
      <c r="P170" s="479"/>
      <c r="Q170" s="480"/>
      <c r="R170" s="183" t="b">
        <v>0</v>
      </c>
      <c r="S170" s="53"/>
      <c r="T170" s="55"/>
      <c r="U170" s="56"/>
      <c r="V170" s="50">
        <f t="shared" si="12"/>
        <v>0</v>
      </c>
      <c r="Y170" s="51">
        <f t="shared" si="15"/>
        <v>0</v>
      </c>
      <c r="Z170" s="51">
        <f t="shared" si="16"/>
        <v>0</v>
      </c>
      <c r="AA170" s="51">
        <f t="shared" si="17"/>
        <v>0</v>
      </c>
      <c r="AB170" s="51" t="str">
        <f t="shared" si="18"/>
        <v/>
      </c>
      <c r="AC170" s="51" t="str">
        <f t="shared" si="18"/>
        <v/>
      </c>
    </row>
    <row r="171" spans="1:29" s="51" customFormat="1" ht="33.75" customHeight="1">
      <c r="A171" s="52">
        <v>150</v>
      </c>
      <c r="B171" s="342"/>
      <c r="C171" s="343"/>
      <c r="D171" s="344"/>
      <c r="E171" s="45"/>
      <c r="F171" s="53"/>
      <c r="G171" s="53"/>
      <c r="H171" s="53"/>
      <c r="I171" s="53"/>
      <c r="J171" s="169"/>
      <c r="K171" s="162"/>
      <c r="L171" s="166">
        <f t="shared" si="14"/>
        <v>0</v>
      </c>
      <c r="M171" s="183" t="b">
        <v>0</v>
      </c>
      <c r="N171" s="478"/>
      <c r="O171" s="479"/>
      <c r="P171" s="479"/>
      <c r="Q171" s="480"/>
      <c r="R171" s="183" t="b">
        <v>0</v>
      </c>
      <c r="S171" s="53"/>
      <c r="T171" s="55"/>
      <c r="U171" s="56"/>
      <c r="V171" s="50">
        <f t="shared" si="12"/>
        <v>0</v>
      </c>
      <c r="Y171" s="51">
        <f t="shared" si="15"/>
        <v>0</v>
      </c>
      <c r="Z171" s="51">
        <f t="shared" si="16"/>
        <v>0</v>
      </c>
      <c r="AA171" s="51">
        <f t="shared" si="17"/>
        <v>0</v>
      </c>
      <c r="AB171" s="51" t="str">
        <f t="shared" si="18"/>
        <v/>
      </c>
      <c r="AC171" s="51" t="str">
        <f t="shared" si="18"/>
        <v/>
      </c>
    </row>
    <row r="172" spans="1:29" s="51" customFormat="1" ht="33.75" customHeight="1">
      <c r="A172" s="52">
        <v>151</v>
      </c>
      <c r="B172" s="342"/>
      <c r="C172" s="343"/>
      <c r="D172" s="344"/>
      <c r="E172" s="45"/>
      <c r="F172" s="53"/>
      <c r="G172" s="53"/>
      <c r="H172" s="53"/>
      <c r="I172" s="53"/>
      <c r="J172" s="169"/>
      <c r="K172" s="162"/>
      <c r="L172" s="166">
        <f t="shared" si="14"/>
        <v>0</v>
      </c>
      <c r="M172" s="183" t="b">
        <v>0</v>
      </c>
      <c r="N172" s="478"/>
      <c r="O172" s="479"/>
      <c r="P172" s="479"/>
      <c r="Q172" s="480"/>
      <c r="R172" s="183" t="b">
        <v>0</v>
      </c>
      <c r="S172" s="53"/>
      <c r="T172" s="55"/>
      <c r="U172" s="56"/>
      <c r="V172" s="50">
        <f t="shared" si="12"/>
        <v>0</v>
      </c>
      <c r="Y172" s="51">
        <f t="shared" si="15"/>
        <v>0</v>
      </c>
      <c r="Z172" s="51">
        <f t="shared" si="16"/>
        <v>0</v>
      </c>
      <c r="AA172" s="51">
        <f t="shared" si="17"/>
        <v>0</v>
      </c>
      <c r="AB172" s="51" t="str">
        <f t="shared" si="18"/>
        <v/>
      </c>
      <c r="AC172" s="51" t="str">
        <f t="shared" si="18"/>
        <v/>
      </c>
    </row>
    <row r="173" spans="1:29" s="51" customFormat="1" ht="33.75" customHeight="1">
      <c r="A173" s="52">
        <v>152</v>
      </c>
      <c r="B173" s="342"/>
      <c r="C173" s="343"/>
      <c r="D173" s="344"/>
      <c r="E173" s="45"/>
      <c r="F173" s="53"/>
      <c r="G173" s="53"/>
      <c r="H173" s="53"/>
      <c r="I173" s="53"/>
      <c r="J173" s="169"/>
      <c r="K173" s="162"/>
      <c r="L173" s="166">
        <f t="shared" si="14"/>
        <v>0</v>
      </c>
      <c r="M173" s="183" t="b">
        <v>0</v>
      </c>
      <c r="N173" s="478"/>
      <c r="O173" s="479"/>
      <c r="P173" s="479"/>
      <c r="Q173" s="480"/>
      <c r="R173" s="183" t="b">
        <v>0</v>
      </c>
      <c r="S173" s="53"/>
      <c r="T173" s="55"/>
      <c r="U173" s="56"/>
      <c r="V173" s="50">
        <f t="shared" si="12"/>
        <v>0</v>
      </c>
      <c r="Y173" s="51">
        <f t="shared" si="15"/>
        <v>0</v>
      </c>
      <c r="Z173" s="51">
        <f t="shared" si="16"/>
        <v>0</v>
      </c>
      <c r="AA173" s="51">
        <f t="shared" si="17"/>
        <v>0</v>
      </c>
      <c r="AB173" s="51" t="str">
        <f t="shared" si="18"/>
        <v/>
      </c>
      <c r="AC173" s="51" t="str">
        <f t="shared" si="18"/>
        <v/>
      </c>
    </row>
    <row r="174" spans="1:29" s="51" customFormat="1" ht="33.75" customHeight="1">
      <c r="A174" s="52">
        <v>153</v>
      </c>
      <c r="B174" s="342"/>
      <c r="C174" s="343"/>
      <c r="D174" s="344"/>
      <c r="E174" s="45"/>
      <c r="F174" s="53"/>
      <c r="G174" s="53"/>
      <c r="H174" s="53"/>
      <c r="I174" s="53"/>
      <c r="J174" s="169"/>
      <c r="K174" s="162"/>
      <c r="L174" s="166">
        <f t="shared" si="14"/>
        <v>0</v>
      </c>
      <c r="M174" s="183" t="b">
        <v>0</v>
      </c>
      <c r="N174" s="478"/>
      <c r="O174" s="479"/>
      <c r="P174" s="479"/>
      <c r="Q174" s="480"/>
      <c r="R174" s="183" t="b">
        <v>0</v>
      </c>
      <c r="S174" s="53"/>
      <c r="T174" s="55"/>
      <c r="U174" s="56"/>
      <c r="V174" s="50">
        <f t="shared" si="12"/>
        <v>0</v>
      </c>
      <c r="Y174" s="51">
        <f t="shared" si="15"/>
        <v>0</v>
      </c>
      <c r="Z174" s="51">
        <f t="shared" si="16"/>
        <v>0</v>
      </c>
      <c r="AA174" s="51">
        <f t="shared" si="17"/>
        <v>0</v>
      </c>
      <c r="AB174" s="51" t="str">
        <f t="shared" si="18"/>
        <v/>
      </c>
      <c r="AC174" s="51" t="str">
        <f t="shared" si="18"/>
        <v/>
      </c>
    </row>
    <row r="175" spans="1:29" s="51" customFormat="1" ht="33.75" customHeight="1">
      <c r="A175" s="52">
        <v>154</v>
      </c>
      <c r="B175" s="342"/>
      <c r="C175" s="343"/>
      <c r="D175" s="344"/>
      <c r="E175" s="45"/>
      <c r="F175" s="53"/>
      <c r="G175" s="53"/>
      <c r="H175" s="53"/>
      <c r="I175" s="53"/>
      <c r="J175" s="169"/>
      <c r="K175" s="162"/>
      <c r="L175" s="166">
        <f t="shared" si="14"/>
        <v>0</v>
      </c>
      <c r="M175" s="183" t="b">
        <v>0</v>
      </c>
      <c r="N175" s="478"/>
      <c r="O175" s="479"/>
      <c r="P175" s="479"/>
      <c r="Q175" s="480"/>
      <c r="R175" s="183" t="b">
        <v>0</v>
      </c>
      <c r="S175" s="53"/>
      <c r="T175" s="55"/>
      <c r="U175" s="56"/>
      <c r="V175" s="50">
        <f t="shared" si="12"/>
        <v>0</v>
      </c>
      <c r="Y175" s="51">
        <f t="shared" si="15"/>
        <v>0</v>
      </c>
      <c r="Z175" s="51">
        <f t="shared" si="16"/>
        <v>0</v>
      </c>
      <c r="AA175" s="51">
        <f t="shared" si="17"/>
        <v>0</v>
      </c>
      <c r="AB175" s="51" t="str">
        <f t="shared" si="18"/>
        <v/>
      </c>
      <c r="AC175" s="51" t="str">
        <f t="shared" si="18"/>
        <v/>
      </c>
    </row>
    <row r="176" spans="1:29" s="51" customFormat="1" ht="33.75" customHeight="1">
      <c r="A176" s="52">
        <v>155</v>
      </c>
      <c r="B176" s="342"/>
      <c r="C176" s="343"/>
      <c r="D176" s="344"/>
      <c r="E176" s="45"/>
      <c r="F176" s="53"/>
      <c r="G176" s="53"/>
      <c r="H176" s="53"/>
      <c r="I176" s="53"/>
      <c r="J176" s="169"/>
      <c r="K176" s="162"/>
      <c r="L176" s="166">
        <f t="shared" si="14"/>
        <v>0</v>
      </c>
      <c r="M176" s="183" t="b">
        <v>0</v>
      </c>
      <c r="N176" s="478"/>
      <c r="O176" s="479"/>
      <c r="P176" s="479"/>
      <c r="Q176" s="480"/>
      <c r="R176" s="183" t="b">
        <v>0</v>
      </c>
      <c r="S176" s="53"/>
      <c r="T176" s="55"/>
      <c r="U176" s="56"/>
      <c r="V176" s="50">
        <f t="shared" si="12"/>
        <v>0</v>
      </c>
      <c r="Y176" s="51">
        <f t="shared" si="15"/>
        <v>0</v>
      </c>
      <c r="Z176" s="51">
        <f t="shared" si="16"/>
        <v>0</v>
      </c>
      <c r="AA176" s="51">
        <f t="shared" si="17"/>
        <v>0</v>
      </c>
      <c r="AB176" s="51" t="str">
        <f t="shared" si="18"/>
        <v/>
      </c>
      <c r="AC176" s="51" t="str">
        <f t="shared" si="18"/>
        <v/>
      </c>
    </row>
    <row r="177" spans="1:29" s="51" customFormat="1" ht="33.75" customHeight="1">
      <c r="A177" s="52">
        <v>156</v>
      </c>
      <c r="B177" s="342"/>
      <c r="C177" s="343"/>
      <c r="D177" s="344"/>
      <c r="E177" s="45"/>
      <c r="F177" s="53"/>
      <c r="G177" s="53"/>
      <c r="H177" s="53"/>
      <c r="I177" s="53"/>
      <c r="J177" s="169"/>
      <c r="K177" s="162"/>
      <c r="L177" s="166">
        <f t="shared" si="14"/>
        <v>0</v>
      </c>
      <c r="M177" s="183" t="b">
        <v>0</v>
      </c>
      <c r="N177" s="478"/>
      <c r="O177" s="479"/>
      <c r="P177" s="479"/>
      <c r="Q177" s="480"/>
      <c r="R177" s="183" t="b">
        <v>0</v>
      </c>
      <c r="S177" s="53"/>
      <c r="T177" s="55"/>
      <c r="U177" s="56"/>
      <c r="V177" s="50">
        <f t="shared" si="12"/>
        <v>0</v>
      </c>
      <c r="Y177" s="51">
        <f t="shared" si="15"/>
        <v>0</v>
      </c>
      <c r="Z177" s="51">
        <f t="shared" si="16"/>
        <v>0</v>
      </c>
      <c r="AA177" s="51">
        <f t="shared" si="17"/>
        <v>0</v>
      </c>
      <c r="AB177" s="51" t="str">
        <f t="shared" si="18"/>
        <v/>
      </c>
      <c r="AC177" s="51" t="str">
        <f t="shared" si="18"/>
        <v/>
      </c>
    </row>
    <row r="178" spans="1:29" s="51" customFormat="1" ht="33.75" customHeight="1">
      <c r="A178" s="52">
        <v>157</v>
      </c>
      <c r="B178" s="342"/>
      <c r="C178" s="343"/>
      <c r="D178" s="344"/>
      <c r="E178" s="45"/>
      <c r="F178" s="53"/>
      <c r="G178" s="53"/>
      <c r="H178" s="53"/>
      <c r="I178" s="53"/>
      <c r="J178" s="169"/>
      <c r="K178" s="162"/>
      <c r="L178" s="166">
        <f t="shared" si="14"/>
        <v>0</v>
      </c>
      <c r="M178" s="183" t="b">
        <v>0</v>
      </c>
      <c r="N178" s="478"/>
      <c r="O178" s="479"/>
      <c r="P178" s="479"/>
      <c r="Q178" s="480"/>
      <c r="R178" s="183" t="b">
        <v>0</v>
      </c>
      <c r="S178" s="53"/>
      <c r="T178" s="55"/>
      <c r="U178" s="56"/>
      <c r="V178" s="50">
        <f t="shared" si="12"/>
        <v>0</v>
      </c>
      <c r="Y178" s="51">
        <f t="shared" si="15"/>
        <v>0</v>
      </c>
      <c r="Z178" s="51">
        <f t="shared" si="16"/>
        <v>0</v>
      </c>
      <c r="AA178" s="51">
        <f t="shared" si="17"/>
        <v>0</v>
      </c>
      <c r="AB178" s="51" t="str">
        <f t="shared" si="18"/>
        <v/>
      </c>
      <c r="AC178" s="51" t="str">
        <f t="shared" si="18"/>
        <v/>
      </c>
    </row>
    <row r="179" spans="1:29" s="51" customFormat="1" ht="33.75" customHeight="1">
      <c r="A179" s="52">
        <v>158</v>
      </c>
      <c r="B179" s="342"/>
      <c r="C179" s="343"/>
      <c r="D179" s="344"/>
      <c r="E179" s="45"/>
      <c r="F179" s="53"/>
      <c r="G179" s="53"/>
      <c r="H179" s="53"/>
      <c r="I179" s="53"/>
      <c r="J179" s="169"/>
      <c r="K179" s="162"/>
      <c r="L179" s="166">
        <f t="shared" si="14"/>
        <v>0</v>
      </c>
      <c r="M179" s="183" t="b">
        <v>0</v>
      </c>
      <c r="N179" s="478"/>
      <c r="O179" s="479"/>
      <c r="P179" s="479"/>
      <c r="Q179" s="480"/>
      <c r="R179" s="183" t="b">
        <v>0</v>
      </c>
      <c r="S179" s="53"/>
      <c r="T179" s="55"/>
      <c r="U179" s="56"/>
      <c r="V179" s="50">
        <f t="shared" si="12"/>
        <v>0</v>
      </c>
      <c r="Y179" s="51">
        <f t="shared" si="15"/>
        <v>0</v>
      </c>
      <c r="Z179" s="51">
        <f t="shared" si="16"/>
        <v>0</v>
      </c>
      <c r="AA179" s="51">
        <f t="shared" si="17"/>
        <v>0</v>
      </c>
      <c r="AB179" s="51" t="str">
        <f t="shared" si="18"/>
        <v/>
      </c>
      <c r="AC179" s="51" t="str">
        <f t="shared" si="18"/>
        <v/>
      </c>
    </row>
    <row r="180" spans="1:29" s="51" customFormat="1" ht="33.75" customHeight="1">
      <c r="A180" s="52">
        <v>159</v>
      </c>
      <c r="B180" s="342"/>
      <c r="C180" s="343"/>
      <c r="D180" s="344"/>
      <c r="E180" s="45"/>
      <c r="F180" s="53"/>
      <c r="G180" s="53"/>
      <c r="H180" s="53"/>
      <c r="I180" s="53"/>
      <c r="J180" s="169"/>
      <c r="K180" s="162"/>
      <c r="L180" s="166">
        <f t="shared" si="14"/>
        <v>0</v>
      </c>
      <c r="M180" s="183" t="b">
        <v>0</v>
      </c>
      <c r="N180" s="478"/>
      <c r="O180" s="479"/>
      <c r="P180" s="479"/>
      <c r="Q180" s="480"/>
      <c r="R180" s="183" t="b">
        <v>0</v>
      </c>
      <c r="S180" s="53"/>
      <c r="T180" s="55"/>
      <c r="U180" s="56"/>
      <c r="V180" s="50">
        <f t="shared" si="12"/>
        <v>0</v>
      </c>
      <c r="Y180" s="51">
        <f t="shared" si="15"/>
        <v>0</v>
      </c>
      <c r="Z180" s="51">
        <f t="shared" si="16"/>
        <v>0</v>
      </c>
      <c r="AA180" s="51">
        <f t="shared" si="17"/>
        <v>0</v>
      </c>
      <c r="AB180" s="51" t="str">
        <f t="shared" si="18"/>
        <v/>
      </c>
      <c r="AC180" s="51" t="str">
        <f t="shared" si="18"/>
        <v/>
      </c>
    </row>
    <row r="181" spans="1:29" s="51" customFormat="1" ht="33.75" customHeight="1">
      <c r="A181" s="52">
        <v>160</v>
      </c>
      <c r="B181" s="342"/>
      <c r="C181" s="343"/>
      <c r="D181" s="344"/>
      <c r="E181" s="45"/>
      <c r="F181" s="53"/>
      <c r="G181" s="53"/>
      <c r="H181" s="53"/>
      <c r="I181" s="53"/>
      <c r="J181" s="169"/>
      <c r="K181" s="162"/>
      <c r="L181" s="166">
        <f t="shared" si="14"/>
        <v>0</v>
      </c>
      <c r="M181" s="183" t="b">
        <v>0</v>
      </c>
      <c r="N181" s="478"/>
      <c r="O181" s="479"/>
      <c r="P181" s="479"/>
      <c r="Q181" s="480"/>
      <c r="R181" s="183" t="b">
        <v>0</v>
      </c>
      <c r="S181" s="53"/>
      <c r="T181" s="55"/>
      <c r="U181" s="56"/>
      <c r="V181" s="50">
        <f t="shared" si="12"/>
        <v>0</v>
      </c>
      <c r="Y181" s="51">
        <f t="shared" si="15"/>
        <v>0</v>
      </c>
      <c r="Z181" s="51">
        <f t="shared" si="16"/>
        <v>0</v>
      </c>
      <c r="AA181" s="51">
        <f t="shared" si="17"/>
        <v>0</v>
      </c>
      <c r="AB181" s="51" t="str">
        <f t="shared" si="18"/>
        <v/>
      </c>
      <c r="AC181" s="51" t="str">
        <f t="shared" si="18"/>
        <v/>
      </c>
    </row>
    <row r="182" spans="1:29" s="51" customFormat="1" ht="33.75" customHeight="1">
      <c r="A182" s="52">
        <v>161</v>
      </c>
      <c r="B182" s="342"/>
      <c r="C182" s="343"/>
      <c r="D182" s="344"/>
      <c r="E182" s="45"/>
      <c r="F182" s="53"/>
      <c r="G182" s="53"/>
      <c r="H182" s="53"/>
      <c r="I182" s="53"/>
      <c r="J182" s="169"/>
      <c r="K182" s="162"/>
      <c r="L182" s="166">
        <f t="shared" si="14"/>
        <v>0</v>
      </c>
      <c r="M182" s="183" t="b">
        <v>0</v>
      </c>
      <c r="N182" s="478"/>
      <c r="O182" s="479"/>
      <c r="P182" s="479"/>
      <c r="Q182" s="480"/>
      <c r="R182" s="183" t="b">
        <v>0</v>
      </c>
      <c r="S182" s="53"/>
      <c r="T182" s="55"/>
      <c r="U182" s="56"/>
      <c r="V182" s="50">
        <f t="shared" si="12"/>
        <v>0</v>
      </c>
      <c r="Y182" s="51">
        <f t="shared" si="15"/>
        <v>0</v>
      </c>
      <c r="Z182" s="51">
        <f t="shared" si="16"/>
        <v>0</v>
      </c>
      <c r="AA182" s="51">
        <f t="shared" si="17"/>
        <v>0</v>
      </c>
      <c r="AB182" s="51" t="str">
        <f t="shared" si="18"/>
        <v/>
      </c>
      <c r="AC182" s="51" t="str">
        <f t="shared" si="18"/>
        <v/>
      </c>
    </row>
    <row r="183" spans="1:29" s="51" customFormat="1" ht="33.75" customHeight="1">
      <c r="A183" s="52">
        <v>162</v>
      </c>
      <c r="B183" s="342"/>
      <c r="C183" s="343"/>
      <c r="D183" s="344"/>
      <c r="E183" s="45"/>
      <c r="F183" s="53"/>
      <c r="G183" s="53"/>
      <c r="H183" s="53"/>
      <c r="I183" s="53"/>
      <c r="J183" s="169"/>
      <c r="K183" s="162"/>
      <c r="L183" s="166">
        <f t="shared" si="14"/>
        <v>0</v>
      </c>
      <c r="M183" s="183" t="b">
        <v>0</v>
      </c>
      <c r="N183" s="478"/>
      <c r="O183" s="479"/>
      <c r="P183" s="479"/>
      <c r="Q183" s="480"/>
      <c r="R183" s="183" t="b">
        <v>0</v>
      </c>
      <c r="S183" s="53"/>
      <c r="T183" s="55"/>
      <c r="U183" s="56"/>
      <c r="V183" s="50">
        <f t="shared" si="12"/>
        <v>0</v>
      </c>
      <c r="Y183" s="51">
        <f t="shared" si="15"/>
        <v>0</v>
      </c>
      <c r="Z183" s="51">
        <f t="shared" si="16"/>
        <v>0</v>
      </c>
      <c r="AA183" s="51">
        <f t="shared" si="17"/>
        <v>0</v>
      </c>
      <c r="AB183" s="51" t="str">
        <f t="shared" si="18"/>
        <v/>
      </c>
      <c r="AC183" s="51" t="str">
        <f t="shared" si="18"/>
        <v/>
      </c>
    </row>
    <row r="184" spans="1:29" s="51" customFormat="1" ht="33.75" customHeight="1">
      <c r="A184" s="52">
        <v>163</v>
      </c>
      <c r="B184" s="342"/>
      <c r="C184" s="343"/>
      <c r="D184" s="344"/>
      <c r="E184" s="45"/>
      <c r="F184" s="53"/>
      <c r="G184" s="53"/>
      <c r="H184" s="53"/>
      <c r="I184" s="53"/>
      <c r="J184" s="169"/>
      <c r="K184" s="162"/>
      <c r="L184" s="166">
        <f t="shared" si="14"/>
        <v>0</v>
      </c>
      <c r="M184" s="183" t="b">
        <v>0</v>
      </c>
      <c r="N184" s="478"/>
      <c r="O184" s="479"/>
      <c r="P184" s="479"/>
      <c r="Q184" s="480"/>
      <c r="R184" s="183" t="b">
        <v>0</v>
      </c>
      <c r="S184" s="53"/>
      <c r="T184" s="55"/>
      <c r="U184" s="56"/>
      <c r="V184" s="50">
        <f t="shared" si="12"/>
        <v>0</v>
      </c>
      <c r="Y184" s="51">
        <f t="shared" si="15"/>
        <v>0</v>
      </c>
      <c r="Z184" s="51">
        <f t="shared" si="16"/>
        <v>0</v>
      </c>
      <c r="AA184" s="51">
        <f t="shared" si="17"/>
        <v>0</v>
      </c>
      <c r="AB184" s="51" t="str">
        <f t="shared" si="18"/>
        <v/>
      </c>
      <c r="AC184" s="51" t="str">
        <f t="shared" si="18"/>
        <v/>
      </c>
    </row>
    <row r="185" spans="1:29" s="51" customFormat="1" ht="33.75" customHeight="1">
      <c r="A185" s="52">
        <v>164</v>
      </c>
      <c r="B185" s="342"/>
      <c r="C185" s="343"/>
      <c r="D185" s="344"/>
      <c r="E185" s="45"/>
      <c r="F185" s="53"/>
      <c r="G185" s="53"/>
      <c r="H185" s="53"/>
      <c r="I185" s="53"/>
      <c r="J185" s="169"/>
      <c r="K185" s="162"/>
      <c r="L185" s="166">
        <f t="shared" si="14"/>
        <v>0</v>
      </c>
      <c r="M185" s="183" t="b">
        <v>0</v>
      </c>
      <c r="N185" s="478"/>
      <c r="O185" s="479"/>
      <c r="P185" s="479"/>
      <c r="Q185" s="480"/>
      <c r="R185" s="183" t="b">
        <v>0</v>
      </c>
      <c r="S185" s="53"/>
      <c r="T185" s="55"/>
      <c r="U185" s="56"/>
      <c r="V185" s="50">
        <f t="shared" si="12"/>
        <v>0</v>
      </c>
      <c r="Y185" s="51">
        <f t="shared" si="15"/>
        <v>0</v>
      </c>
      <c r="Z185" s="51">
        <f t="shared" si="16"/>
        <v>0</v>
      </c>
      <c r="AA185" s="51">
        <f t="shared" si="17"/>
        <v>0</v>
      </c>
      <c r="AB185" s="51" t="str">
        <f t="shared" si="18"/>
        <v/>
      </c>
      <c r="AC185" s="51" t="str">
        <f t="shared" si="18"/>
        <v/>
      </c>
    </row>
    <row r="186" spans="1:29" s="51" customFormat="1" ht="33.75" customHeight="1">
      <c r="A186" s="52">
        <v>165</v>
      </c>
      <c r="B186" s="342"/>
      <c r="C186" s="343"/>
      <c r="D186" s="344"/>
      <c r="E186" s="45"/>
      <c r="F186" s="53"/>
      <c r="G186" s="53"/>
      <c r="H186" s="53"/>
      <c r="I186" s="53"/>
      <c r="J186" s="169"/>
      <c r="K186" s="162"/>
      <c r="L186" s="166">
        <f t="shared" si="14"/>
        <v>0</v>
      </c>
      <c r="M186" s="183" t="b">
        <v>0</v>
      </c>
      <c r="N186" s="478"/>
      <c r="O186" s="479"/>
      <c r="P186" s="479"/>
      <c r="Q186" s="480"/>
      <c r="R186" s="183" t="b">
        <v>0</v>
      </c>
      <c r="S186" s="53"/>
      <c r="T186" s="55"/>
      <c r="U186" s="56"/>
      <c r="V186" s="50">
        <f t="shared" si="12"/>
        <v>0</v>
      </c>
      <c r="Y186" s="51">
        <f t="shared" si="15"/>
        <v>0</v>
      </c>
      <c r="Z186" s="51">
        <f t="shared" si="16"/>
        <v>0</v>
      </c>
      <c r="AA186" s="51">
        <f t="shared" si="17"/>
        <v>0</v>
      </c>
      <c r="AB186" s="51" t="str">
        <f t="shared" si="18"/>
        <v/>
      </c>
      <c r="AC186" s="51" t="str">
        <f t="shared" si="18"/>
        <v/>
      </c>
    </row>
    <row r="187" spans="1:29" s="51" customFormat="1" ht="33.75" customHeight="1">
      <c r="A187" s="52">
        <v>166</v>
      </c>
      <c r="B187" s="342"/>
      <c r="C187" s="343"/>
      <c r="D187" s="344"/>
      <c r="E187" s="45"/>
      <c r="F187" s="53"/>
      <c r="G187" s="53"/>
      <c r="H187" s="53"/>
      <c r="I187" s="53"/>
      <c r="J187" s="169"/>
      <c r="K187" s="162"/>
      <c r="L187" s="166">
        <f t="shared" si="14"/>
        <v>0</v>
      </c>
      <c r="M187" s="183" t="b">
        <v>0</v>
      </c>
      <c r="N187" s="478"/>
      <c r="O187" s="479"/>
      <c r="P187" s="479"/>
      <c r="Q187" s="480"/>
      <c r="R187" s="183" t="b">
        <v>0</v>
      </c>
      <c r="S187" s="53"/>
      <c r="T187" s="55"/>
      <c r="U187" s="56"/>
      <c r="V187" s="50">
        <f t="shared" si="12"/>
        <v>0</v>
      </c>
      <c r="Y187" s="51">
        <f t="shared" si="15"/>
        <v>0</v>
      </c>
      <c r="Z187" s="51">
        <f t="shared" si="16"/>
        <v>0</v>
      </c>
      <c r="AA187" s="51">
        <f t="shared" si="17"/>
        <v>0</v>
      </c>
      <c r="AB187" s="51" t="str">
        <f t="shared" si="18"/>
        <v/>
      </c>
      <c r="AC187" s="51" t="str">
        <f t="shared" si="18"/>
        <v/>
      </c>
    </row>
    <row r="188" spans="1:29" s="51" customFormat="1" ht="33.75" customHeight="1">
      <c r="A188" s="52">
        <v>167</v>
      </c>
      <c r="B188" s="342"/>
      <c r="C188" s="343"/>
      <c r="D188" s="344"/>
      <c r="E188" s="45"/>
      <c r="F188" s="53"/>
      <c r="G188" s="53"/>
      <c r="H188" s="53"/>
      <c r="I188" s="53"/>
      <c r="J188" s="169"/>
      <c r="K188" s="162"/>
      <c r="L188" s="166">
        <f t="shared" si="14"/>
        <v>0</v>
      </c>
      <c r="M188" s="183" t="b">
        <v>0</v>
      </c>
      <c r="N188" s="478"/>
      <c r="O188" s="479"/>
      <c r="P188" s="479"/>
      <c r="Q188" s="480"/>
      <c r="R188" s="183" t="b">
        <v>0</v>
      </c>
      <c r="S188" s="53"/>
      <c r="T188" s="55"/>
      <c r="U188" s="56"/>
      <c r="V188" s="50">
        <f t="shared" si="12"/>
        <v>0</v>
      </c>
      <c r="Y188" s="51">
        <f t="shared" si="15"/>
        <v>0</v>
      </c>
      <c r="Z188" s="51">
        <f t="shared" si="16"/>
        <v>0</v>
      </c>
      <c r="AA188" s="51">
        <f t="shared" si="17"/>
        <v>0</v>
      </c>
      <c r="AB188" s="51" t="str">
        <f t="shared" si="18"/>
        <v/>
      </c>
      <c r="AC188" s="51" t="str">
        <f t="shared" si="18"/>
        <v/>
      </c>
    </row>
    <row r="189" spans="1:29" s="51" customFormat="1" ht="33.75" customHeight="1">
      <c r="A189" s="52">
        <v>168</v>
      </c>
      <c r="B189" s="342"/>
      <c r="C189" s="343"/>
      <c r="D189" s="344"/>
      <c r="E189" s="45"/>
      <c r="F189" s="53"/>
      <c r="G189" s="53"/>
      <c r="H189" s="53"/>
      <c r="I189" s="53"/>
      <c r="J189" s="169"/>
      <c r="K189" s="162"/>
      <c r="L189" s="166">
        <f t="shared" si="14"/>
        <v>0</v>
      </c>
      <c r="M189" s="183" t="b">
        <v>0</v>
      </c>
      <c r="N189" s="478"/>
      <c r="O189" s="479"/>
      <c r="P189" s="479"/>
      <c r="Q189" s="480"/>
      <c r="R189" s="183" t="b">
        <v>0</v>
      </c>
      <c r="S189" s="53"/>
      <c r="T189" s="55"/>
      <c r="U189" s="56"/>
      <c r="V189" s="50">
        <f t="shared" si="12"/>
        <v>0</v>
      </c>
      <c r="Y189" s="51">
        <f t="shared" si="15"/>
        <v>0</v>
      </c>
      <c r="Z189" s="51">
        <f t="shared" si="16"/>
        <v>0</v>
      </c>
      <c r="AA189" s="51">
        <f t="shared" si="17"/>
        <v>0</v>
      </c>
      <c r="AB189" s="51" t="str">
        <f t="shared" si="18"/>
        <v/>
      </c>
      <c r="AC189" s="51" t="str">
        <f t="shared" si="18"/>
        <v/>
      </c>
    </row>
    <row r="190" spans="1:29" s="51" customFormat="1" ht="33.75" customHeight="1">
      <c r="A190" s="52">
        <v>169</v>
      </c>
      <c r="B190" s="342"/>
      <c r="C190" s="343"/>
      <c r="D190" s="344"/>
      <c r="E190" s="45"/>
      <c r="F190" s="53"/>
      <c r="G190" s="53"/>
      <c r="H190" s="53"/>
      <c r="I190" s="53"/>
      <c r="J190" s="169"/>
      <c r="K190" s="162"/>
      <c r="L190" s="166">
        <f t="shared" si="14"/>
        <v>0</v>
      </c>
      <c r="M190" s="183" t="b">
        <v>0</v>
      </c>
      <c r="N190" s="478"/>
      <c r="O190" s="479"/>
      <c r="P190" s="479"/>
      <c r="Q190" s="480"/>
      <c r="R190" s="183" t="b">
        <v>0</v>
      </c>
      <c r="S190" s="53"/>
      <c r="T190" s="55"/>
      <c r="U190" s="56"/>
      <c r="V190" s="50">
        <f t="shared" si="12"/>
        <v>0</v>
      </c>
      <c r="Y190" s="51">
        <f t="shared" si="15"/>
        <v>0</v>
      </c>
      <c r="Z190" s="51">
        <f t="shared" si="16"/>
        <v>0</v>
      </c>
      <c r="AA190" s="51">
        <f t="shared" si="17"/>
        <v>0</v>
      </c>
      <c r="AB190" s="51" t="str">
        <f t="shared" si="18"/>
        <v/>
      </c>
      <c r="AC190" s="51" t="str">
        <f t="shared" si="18"/>
        <v/>
      </c>
    </row>
    <row r="191" spans="1:29" s="51" customFormat="1" ht="33.75" customHeight="1">
      <c r="A191" s="52">
        <v>170</v>
      </c>
      <c r="B191" s="342"/>
      <c r="C191" s="343"/>
      <c r="D191" s="344"/>
      <c r="E191" s="45"/>
      <c r="F191" s="53"/>
      <c r="G191" s="53"/>
      <c r="H191" s="53"/>
      <c r="I191" s="53"/>
      <c r="J191" s="169"/>
      <c r="K191" s="162"/>
      <c r="L191" s="166">
        <f t="shared" si="14"/>
        <v>0</v>
      </c>
      <c r="M191" s="183" t="b">
        <v>0</v>
      </c>
      <c r="N191" s="478"/>
      <c r="O191" s="479"/>
      <c r="P191" s="479"/>
      <c r="Q191" s="480"/>
      <c r="R191" s="183" t="b">
        <v>0</v>
      </c>
      <c r="S191" s="53"/>
      <c r="T191" s="55"/>
      <c r="U191" s="56"/>
      <c r="V191" s="50">
        <f t="shared" si="12"/>
        <v>0</v>
      </c>
      <c r="Y191" s="51">
        <f t="shared" si="15"/>
        <v>0</v>
      </c>
      <c r="Z191" s="51">
        <f t="shared" si="16"/>
        <v>0</v>
      </c>
      <c r="AA191" s="51">
        <f t="shared" si="17"/>
        <v>0</v>
      </c>
      <c r="AB191" s="51" t="str">
        <f t="shared" si="18"/>
        <v/>
      </c>
      <c r="AC191" s="51" t="str">
        <f t="shared" si="18"/>
        <v/>
      </c>
    </row>
    <row r="192" spans="1:29" s="51" customFormat="1" ht="33.75" customHeight="1">
      <c r="A192" s="52">
        <v>171</v>
      </c>
      <c r="B192" s="342"/>
      <c r="C192" s="343"/>
      <c r="D192" s="344"/>
      <c r="E192" s="45"/>
      <c r="F192" s="53"/>
      <c r="G192" s="53"/>
      <c r="H192" s="53"/>
      <c r="I192" s="53"/>
      <c r="J192" s="169"/>
      <c r="K192" s="162"/>
      <c r="L192" s="166">
        <f t="shared" si="14"/>
        <v>0</v>
      </c>
      <c r="M192" s="183" t="b">
        <v>0</v>
      </c>
      <c r="N192" s="478"/>
      <c r="O192" s="479"/>
      <c r="P192" s="479"/>
      <c r="Q192" s="480"/>
      <c r="R192" s="183" t="b">
        <v>0</v>
      </c>
      <c r="S192" s="53"/>
      <c r="T192" s="55"/>
      <c r="U192" s="56"/>
      <c r="V192" s="50">
        <f t="shared" si="12"/>
        <v>0</v>
      </c>
      <c r="Y192" s="51">
        <f t="shared" si="15"/>
        <v>0</v>
      </c>
      <c r="Z192" s="51">
        <f t="shared" si="16"/>
        <v>0</v>
      </c>
      <c r="AA192" s="51">
        <f t="shared" si="17"/>
        <v>0</v>
      </c>
      <c r="AB192" s="51" t="str">
        <f t="shared" si="18"/>
        <v/>
      </c>
      <c r="AC192" s="51" t="str">
        <f t="shared" si="18"/>
        <v/>
      </c>
    </row>
    <row r="193" spans="1:29" s="51" customFormat="1" ht="33.75" customHeight="1">
      <c r="A193" s="52">
        <v>172</v>
      </c>
      <c r="B193" s="342"/>
      <c r="C193" s="343"/>
      <c r="D193" s="344"/>
      <c r="E193" s="45"/>
      <c r="F193" s="53"/>
      <c r="G193" s="53"/>
      <c r="H193" s="53"/>
      <c r="I193" s="53"/>
      <c r="J193" s="169"/>
      <c r="K193" s="162"/>
      <c r="L193" s="166">
        <f t="shared" si="14"/>
        <v>0</v>
      </c>
      <c r="M193" s="183" t="b">
        <v>0</v>
      </c>
      <c r="N193" s="478"/>
      <c r="O193" s="479"/>
      <c r="P193" s="479"/>
      <c r="Q193" s="480"/>
      <c r="R193" s="183" t="b">
        <v>0</v>
      </c>
      <c r="S193" s="53"/>
      <c r="T193" s="55"/>
      <c r="U193" s="56"/>
      <c r="V193" s="50">
        <f t="shared" si="12"/>
        <v>0</v>
      </c>
      <c r="Y193" s="51">
        <f t="shared" si="15"/>
        <v>0</v>
      </c>
      <c r="Z193" s="51">
        <f t="shared" si="16"/>
        <v>0</v>
      </c>
      <c r="AA193" s="51">
        <f t="shared" si="17"/>
        <v>0</v>
      </c>
      <c r="AB193" s="51" t="str">
        <f t="shared" si="18"/>
        <v/>
      </c>
      <c r="AC193" s="51" t="str">
        <f t="shared" si="18"/>
        <v/>
      </c>
    </row>
    <row r="194" spans="1:29" s="51" customFormat="1" ht="33.75" customHeight="1">
      <c r="A194" s="52">
        <v>173</v>
      </c>
      <c r="B194" s="342"/>
      <c r="C194" s="343"/>
      <c r="D194" s="344"/>
      <c r="E194" s="45"/>
      <c r="F194" s="53"/>
      <c r="G194" s="53"/>
      <c r="H194" s="53"/>
      <c r="I194" s="53"/>
      <c r="J194" s="169"/>
      <c r="K194" s="162"/>
      <c r="L194" s="166">
        <f t="shared" si="14"/>
        <v>0</v>
      </c>
      <c r="M194" s="183" t="b">
        <v>0</v>
      </c>
      <c r="N194" s="478"/>
      <c r="O194" s="479"/>
      <c r="P194" s="479"/>
      <c r="Q194" s="480"/>
      <c r="R194" s="183" t="b">
        <v>0</v>
      </c>
      <c r="S194" s="53"/>
      <c r="T194" s="55"/>
      <c r="U194" s="56"/>
      <c r="V194" s="50">
        <f t="shared" si="12"/>
        <v>0</v>
      </c>
      <c r="Y194" s="51">
        <f t="shared" si="15"/>
        <v>0</v>
      </c>
      <c r="Z194" s="51">
        <f t="shared" si="16"/>
        <v>0</v>
      </c>
      <c r="AA194" s="51">
        <f t="shared" si="17"/>
        <v>0</v>
      </c>
      <c r="AB194" s="51" t="str">
        <f t="shared" si="18"/>
        <v/>
      </c>
      <c r="AC194" s="51" t="str">
        <f t="shared" si="18"/>
        <v/>
      </c>
    </row>
    <row r="195" spans="1:29" s="51" customFormat="1" ht="33.75" customHeight="1">
      <c r="A195" s="52">
        <v>174</v>
      </c>
      <c r="B195" s="342"/>
      <c r="C195" s="343"/>
      <c r="D195" s="344"/>
      <c r="E195" s="45"/>
      <c r="F195" s="53"/>
      <c r="G195" s="53"/>
      <c r="H195" s="53"/>
      <c r="I195" s="53"/>
      <c r="J195" s="169"/>
      <c r="K195" s="162"/>
      <c r="L195" s="166">
        <f t="shared" si="14"/>
        <v>0</v>
      </c>
      <c r="M195" s="183" t="b">
        <v>0</v>
      </c>
      <c r="N195" s="478"/>
      <c r="O195" s="479"/>
      <c r="P195" s="479"/>
      <c r="Q195" s="480"/>
      <c r="R195" s="183" t="b">
        <v>0</v>
      </c>
      <c r="S195" s="53"/>
      <c r="T195" s="55"/>
      <c r="U195" s="56"/>
      <c r="V195" s="50">
        <f t="shared" si="12"/>
        <v>0</v>
      </c>
      <c r="Y195" s="51">
        <f t="shared" si="15"/>
        <v>0</v>
      </c>
      <c r="Z195" s="51">
        <f t="shared" si="16"/>
        <v>0</v>
      </c>
      <c r="AA195" s="51">
        <f t="shared" si="17"/>
        <v>0</v>
      </c>
      <c r="AB195" s="51" t="str">
        <f t="shared" si="18"/>
        <v/>
      </c>
      <c r="AC195" s="51" t="str">
        <f t="shared" si="18"/>
        <v/>
      </c>
    </row>
    <row r="196" spans="1:29" s="51" customFormat="1" ht="33.75" customHeight="1">
      <c r="A196" s="52">
        <v>175</v>
      </c>
      <c r="B196" s="342"/>
      <c r="C196" s="343"/>
      <c r="D196" s="344"/>
      <c r="E196" s="45"/>
      <c r="F196" s="53"/>
      <c r="G196" s="53"/>
      <c r="H196" s="53"/>
      <c r="I196" s="53"/>
      <c r="J196" s="169"/>
      <c r="K196" s="162"/>
      <c r="L196" s="166">
        <f t="shared" si="14"/>
        <v>0</v>
      </c>
      <c r="M196" s="183" t="b">
        <v>0</v>
      </c>
      <c r="N196" s="478"/>
      <c r="O196" s="479"/>
      <c r="P196" s="479"/>
      <c r="Q196" s="480"/>
      <c r="R196" s="183" t="b">
        <v>0</v>
      </c>
      <c r="S196" s="53"/>
      <c r="T196" s="55"/>
      <c r="U196" s="56"/>
      <c r="V196" s="50">
        <f t="shared" si="12"/>
        <v>0</v>
      </c>
      <c r="Y196" s="51">
        <f t="shared" si="15"/>
        <v>0</v>
      </c>
      <c r="Z196" s="51">
        <f t="shared" si="16"/>
        <v>0</v>
      </c>
      <c r="AA196" s="51">
        <f t="shared" si="17"/>
        <v>0</v>
      </c>
      <c r="AB196" s="51" t="str">
        <f t="shared" si="18"/>
        <v/>
      </c>
      <c r="AC196" s="51" t="str">
        <f t="shared" si="18"/>
        <v/>
      </c>
    </row>
    <row r="197" spans="1:29" s="51" customFormat="1" ht="33.75" customHeight="1">
      <c r="A197" s="52">
        <v>176</v>
      </c>
      <c r="B197" s="342"/>
      <c r="C197" s="343"/>
      <c r="D197" s="344"/>
      <c r="E197" s="45"/>
      <c r="F197" s="53"/>
      <c r="G197" s="53"/>
      <c r="H197" s="53"/>
      <c r="I197" s="53"/>
      <c r="J197" s="169"/>
      <c r="K197" s="162"/>
      <c r="L197" s="166">
        <f t="shared" si="14"/>
        <v>0</v>
      </c>
      <c r="M197" s="183" t="b">
        <v>0</v>
      </c>
      <c r="N197" s="478"/>
      <c r="O197" s="479"/>
      <c r="P197" s="479"/>
      <c r="Q197" s="480"/>
      <c r="R197" s="183" t="b">
        <v>0</v>
      </c>
      <c r="S197" s="53"/>
      <c r="T197" s="55"/>
      <c r="U197" s="56"/>
      <c r="V197" s="50">
        <f t="shared" si="12"/>
        <v>0</v>
      </c>
      <c r="Y197" s="51">
        <f t="shared" si="15"/>
        <v>0</v>
      </c>
      <c r="Z197" s="51">
        <f t="shared" si="16"/>
        <v>0</v>
      </c>
      <c r="AA197" s="51">
        <f t="shared" si="17"/>
        <v>0</v>
      </c>
      <c r="AB197" s="51" t="str">
        <f t="shared" si="18"/>
        <v/>
      </c>
      <c r="AC197" s="51" t="str">
        <f t="shared" si="18"/>
        <v/>
      </c>
    </row>
    <row r="198" spans="1:29" s="51" customFormat="1" ht="33.75" customHeight="1">
      <c r="A198" s="52">
        <v>177</v>
      </c>
      <c r="B198" s="342"/>
      <c r="C198" s="343"/>
      <c r="D198" s="344"/>
      <c r="E198" s="45"/>
      <c r="F198" s="53"/>
      <c r="G198" s="53"/>
      <c r="H198" s="53"/>
      <c r="I198" s="53"/>
      <c r="J198" s="169"/>
      <c r="K198" s="162"/>
      <c r="L198" s="166">
        <f t="shared" si="14"/>
        <v>0</v>
      </c>
      <c r="M198" s="183" t="b">
        <v>0</v>
      </c>
      <c r="N198" s="478"/>
      <c r="O198" s="479"/>
      <c r="P198" s="479"/>
      <c r="Q198" s="480"/>
      <c r="R198" s="183" t="b">
        <v>0</v>
      </c>
      <c r="S198" s="53"/>
      <c r="T198" s="55"/>
      <c r="U198" s="56"/>
      <c r="V198" s="50">
        <f t="shared" si="12"/>
        <v>0</v>
      </c>
      <c r="Y198" s="51">
        <f t="shared" si="15"/>
        <v>0</v>
      </c>
      <c r="Z198" s="51">
        <f t="shared" si="16"/>
        <v>0</v>
      </c>
      <c r="AA198" s="51">
        <f t="shared" si="17"/>
        <v>0</v>
      </c>
      <c r="AB198" s="51" t="str">
        <f t="shared" si="18"/>
        <v/>
      </c>
      <c r="AC198" s="51" t="str">
        <f t="shared" si="18"/>
        <v/>
      </c>
    </row>
    <row r="199" spans="1:29" s="51" customFormat="1" ht="33.75" customHeight="1">
      <c r="A199" s="52">
        <v>178</v>
      </c>
      <c r="B199" s="342"/>
      <c r="C199" s="343"/>
      <c r="D199" s="344"/>
      <c r="E199" s="45"/>
      <c r="F199" s="53"/>
      <c r="G199" s="53"/>
      <c r="H199" s="53"/>
      <c r="I199" s="53"/>
      <c r="J199" s="169"/>
      <c r="K199" s="162"/>
      <c r="L199" s="166">
        <f t="shared" si="14"/>
        <v>0</v>
      </c>
      <c r="M199" s="183" t="b">
        <v>0</v>
      </c>
      <c r="N199" s="478"/>
      <c r="O199" s="479"/>
      <c r="P199" s="479"/>
      <c r="Q199" s="480"/>
      <c r="R199" s="183" t="b">
        <v>0</v>
      </c>
      <c r="S199" s="53"/>
      <c r="T199" s="55"/>
      <c r="U199" s="56"/>
      <c r="V199" s="50">
        <f t="shared" si="12"/>
        <v>0</v>
      </c>
      <c r="Y199" s="51">
        <f t="shared" si="15"/>
        <v>0</v>
      </c>
      <c r="Z199" s="51">
        <f t="shared" si="16"/>
        <v>0</v>
      </c>
      <c r="AA199" s="51">
        <f t="shared" si="17"/>
        <v>0</v>
      </c>
      <c r="AB199" s="51" t="str">
        <f t="shared" si="18"/>
        <v/>
      </c>
      <c r="AC199" s="51" t="str">
        <f t="shared" si="18"/>
        <v/>
      </c>
    </row>
    <row r="200" spans="1:29" s="51" customFormat="1" ht="33.75" customHeight="1">
      <c r="A200" s="52">
        <v>179</v>
      </c>
      <c r="B200" s="342"/>
      <c r="C200" s="343"/>
      <c r="D200" s="344"/>
      <c r="E200" s="45"/>
      <c r="F200" s="53"/>
      <c r="G200" s="53"/>
      <c r="H200" s="53"/>
      <c r="I200" s="53"/>
      <c r="J200" s="169"/>
      <c r="K200" s="162"/>
      <c r="L200" s="166">
        <f t="shared" si="14"/>
        <v>0</v>
      </c>
      <c r="M200" s="183" t="b">
        <v>0</v>
      </c>
      <c r="N200" s="478"/>
      <c r="O200" s="479"/>
      <c r="P200" s="479"/>
      <c r="Q200" s="480"/>
      <c r="R200" s="183" t="b">
        <v>0</v>
      </c>
      <c r="S200" s="53"/>
      <c r="T200" s="55"/>
      <c r="U200" s="56"/>
      <c r="V200" s="50">
        <f t="shared" si="12"/>
        <v>0</v>
      </c>
      <c r="Y200" s="51">
        <f t="shared" si="15"/>
        <v>0</v>
      </c>
      <c r="Z200" s="51">
        <f t="shared" si="16"/>
        <v>0</v>
      </c>
      <c r="AA200" s="51">
        <f t="shared" si="17"/>
        <v>0</v>
      </c>
      <c r="AB200" s="51" t="str">
        <f t="shared" si="18"/>
        <v/>
      </c>
      <c r="AC200" s="51" t="str">
        <f t="shared" si="18"/>
        <v/>
      </c>
    </row>
    <row r="201" spans="1:29" s="51" customFormat="1" ht="33.75" customHeight="1">
      <c r="A201" s="52">
        <v>180</v>
      </c>
      <c r="B201" s="342"/>
      <c r="C201" s="343"/>
      <c r="D201" s="344"/>
      <c r="E201" s="45"/>
      <c r="F201" s="53"/>
      <c r="G201" s="53"/>
      <c r="H201" s="53"/>
      <c r="I201" s="53"/>
      <c r="J201" s="169"/>
      <c r="K201" s="162"/>
      <c r="L201" s="166">
        <f t="shared" si="14"/>
        <v>0</v>
      </c>
      <c r="M201" s="183" t="b">
        <v>0</v>
      </c>
      <c r="N201" s="478"/>
      <c r="O201" s="479"/>
      <c r="P201" s="479"/>
      <c r="Q201" s="480"/>
      <c r="R201" s="183" t="b">
        <v>0</v>
      </c>
      <c r="S201" s="53"/>
      <c r="T201" s="55"/>
      <c r="U201" s="56"/>
      <c r="V201" s="50">
        <f t="shared" si="12"/>
        <v>0</v>
      </c>
      <c r="Y201" s="51">
        <f t="shared" si="15"/>
        <v>0</v>
      </c>
      <c r="Z201" s="51">
        <f t="shared" si="16"/>
        <v>0</v>
      </c>
      <c r="AA201" s="51">
        <f t="shared" si="17"/>
        <v>0</v>
      </c>
      <c r="AB201" s="51" t="str">
        <f t="shared" si="18"/>
        <v/>
      </c>
      <c r="AC201" s="51" t="str">
        <f t="shared" si="18"/>
        <v/>
      </c>
    </row>
    <row r="202" spans="1:29" s="51" customFormat="1" ht="33.75" customHeight="1">
      <c r="A202" s="52">
        <v>181</v>
      </c>
      <c r="B202" s="342"/>
      <c r="C202" s="343"/>
      <c r="D202" s="344"/>
      <c r="E202" s="45"/>
      <c r="F202" s="53"/>
      <c r="G202" s="53"/>
      <c r="H202" s="53"/>
      <c r="I202" s="53"/>
      <c r="J202" s="169"/>
      <c r="K202" s="162"/>
      <c r="L202" s="166">
        <f t="shared" si="14"/>
        <v>0</v>
      </c>
      <c r="M202" s="183" t="b">
        <v>0</v>
      </c>
      <c r="N202" s="478"/>
      <c r="O202" s="479"/>
      <c r="P202" s="479"/>
      <c r="Q202" s="480"/>
      <c r="R202" s="183" t="b">
        <v>0</v>
      </c>
      <c r="S202" s="53"/>
      <c r="T202" s="55"/>
      <c r="U202" s="56"/>
      <c r="V202" s="50">
        <f t="shared" si="12"/>
        <v>0</v>
      </c>
      <c r="Y202" s="51">
        <f t="shared" si="15"/>
        <v>0</v>
      </c>
      <c r="Z202" s="51">
        <f t="shared" si="16"/>
        <v>0</v>
      </c>
      <c r="AA202" s="51">
        <f t="shared" si="17"/>
        <v>0</v>
      </c>
      <c r="AB202" s="51" t="str">
        <f t="shared" si="18"/>
        <v/>
      </c>
      <c r="AC202" s="51" t="str">
        <f t="shared" si="18"/>
        <v/>
      </c>
    </row>
    <row r="203" spans="1:29" s="51" customFormat="1" ht="33.75" customHeight="1">
      <c r="A203" s="52">
        <v>182</v>
      </c>
      <c r="B203" s="342"/>
      <c r="C203" s="343"/>
      <c r="D203" s="344"/>
      <c r="E203" s="45"/>
      <c r="F203" s="53"/>
      <c r="G203" s="53"/>
      <c r="H203" s="53"/>
      <c r="I203" s="53"/>
      <c r="J203" s="169"/>
      <c r="K203" s="162"/>
      <c r="L203" s="166">
        <f t="shared" si="14"/>
        <v>0</v>
      </c>
      <c r="M203" s="183" t="b">
        <v>0</v>
      </c>
      <c r="N203" s="478"/>
      <c r="O203" s="479"/>
      <c r="P203" s="479"/>
      <c r="Q203" s="480"/>
      <c r="R203" s="183" t="b">
        <v>0</v>
      </c>
      <c r="S203" s="53"/>
      <c r="T203" s="55"/>
      <c r="U203" s="56"/>
      <c r="V203" s="50">
        <f t="shared" si="12"/>
        <v>0</v>
      </c>
      <c r="Y203" s="51">
        <f t="shared" si="15"/>
        <v>0</v>
      </c>
      <c r="Z203" s="51">
        <f t="shared" si="16"/>
        <v>0</v>
      </c>
      <c r="AA203" s="51">
        <f t="shared" si="17"/>
        <v>0</v>
      </c>
      <c r="AB203" s="51" t="str">
        <f t="shared" si="18"/>
        <v/>
      </c>
      <c r="AC203" s="51" t="str">
        <f t="shared" si="18"/>
        <v/>
      </c>
    </row>
    <row r="204" spans="1:29" s="51" customFormat="1" ht="33.75" customHeight="1">
      <c r="A204" s="52">
        <v>183</v>
      </c>
      <c r="B204" s="342"/>
      <c r="C204" s="343"/>
      <c r="D204" s="344"/>
      <c r="E204" s="45"/>
      <c r="F204" s="53"/>
      <c r="G204" s="53"/>
      <c r="H204" s="53"/>
      <c r="I204" s="53"/>
      <c r="J204" s="169"/>
      <c r="K204" s="162"/>
      <c r="L204" s="166">
        <f t="shared" si="14"/>
        <v>0</v>
      </c>
      <c r="M204" s="183" t="b">
        <v>0</v>
      </c>
      <c r="N204" s="478"/>
      <c r="O204" s="479"/>
      <c r="P204" s="479"/>
      <c r="Q204" s="480"/>
      <c r="R204" s="183" t="b">
        <v>0</v>
      </c>
      <c r="S204" s="53"/>
      <c r="T204" s="55"/>
      <c r="U204" s="56"/>
      <c r="V204" s="50">
        <f t="shared" si="12"/>
        <v>0</v>
      </c>
      <c r="Y204" s="51">
        <f t="shared" si="15"/>
        <v>0</v>
      </c>
      <c r="Z204" s="51">
        <f t="shared" si="16"/>
        <v>0</v>
      </c>
      <c r="AA204" s="51">
        <f t="shared" si="17"/>
        <v>0</v>
      </c>
      <c r="AB204" s="51" t="str">
        <f t="shared" si="18"/>
        <v/>
      </c>
      <c r="AC204" s="51" t="str">
        <f t="shared" si="18"/>
        <v/>
      </c>
    </row>
    <row r="205" spans="1:29" s="51" customFormat="1" ht="33.75" customHeight="1">
      <c r="A205" s="52">
        <v>184</v>
      </c>
      <c r="B205" s="342"/>
      <c r="C205" s="343"/>
      <c r="D205" s="344"/>
      <c r="E205" s="45"/>
      <c r="F205" s="53"/>
      <c r="G205" s="53"/>
      <c r="H205" s="53"/>
      <c r="I205" s="53"/>
      <c r="J205" s="169"/>
      <c r="K205" s="162"/>
      <c r="L205" s="166">
        <f t="shared" si="14"/>
        <v>0</v>
      </c>
      <c r="M205" s="183" t="b">
        <v>0</v>
      </c>
      <c r="N205" s="478"/>
      <c r="O205" s="479"/>
      <c r="P205" s="479"/>
      <c r="Q205" s="480"/>
      <c r="R205" s="183" t="b">
        <v>0</v>
      </c>
      <c r="S205" s="53"/>
      <c r="T205" s="55"/>
      <c r="U205" s="56"/>
      <c r="V205" s="50">
        <f t="shared" si="12"/>
        <v>0</v>
      </c>
      <c r="Y205" s="51">
        <f t="shared" si="15"/>
        <v>0</v>
      </c>
      <c r="Z205" s="51">
        <f t="shared" si="16"/>
        <v>0</v>
      </c>
      <c r="AA205" s="51">
        <f t="shared" si="17"/>
        <v>0</v>
      </c>
      <c r="AB205" s="51" t="str">
        <f t="shared" si="18"/>
        <v/>
      </c>
      <c r="AC205" s="51" t="str">
        <f t="shared" si="18"/>
        <v/>
      </c>
    </row>
    <row r="206" spans="1:29" s="51" customFormat="1" ht="33.75" customHeight="1">
      <c r="A206" s="52">
        <v>185</v>
      </c>
      <c r="B206" s="342"/>
      <c r="C206" s="343"/>
      <c r="D206" s="344"/>
      <c r="E206" s="45"/>
      <c r="F206" s="53"/>
      <c r="G206" s="53"/>
      <c r="H206" s="53"/>
      <c r="I206" s="53"/>
      <c r="J206" s="169"/>
      <c r="K206" s="162"/>
      <c r="L206" s="166">
        <f t="shared" si="14"/>
        <v>0</v>
      </c>
      <c r="M206" s="183" t="b">
        <v>0</v>
      </c>
      <c r="N206" s="478"/>
      <c r="O206" s="479"/>
      <c r="P206" s="479"/>
      <c r="Q206" s="480"/>
      <c r="R206" s="183" t="b">
        <v>0</v>
      </c>
      <c r="S206" s="53"/>
      <c r="T206" s="55"/>
      <c r="U206" s="56"/>
      <c r="V206" s="50">
        <f t="shared" si="12"/>
        <v>0</v>
      </c>
      <c r="Y206" s="51">
        <f t="shared" si="15"/>
        <v>0</v>
      </c>
      <c r="Z206" s="51">
        <f t="shared" si="16"/>
        <v>0</v>
      </c>
      <c r="AA206" s="51">
        <f t="shared" si="17"/>
        <v>0</v>
      </c>
      <c r="AB206" s="51" t="str">
        <f t="shared" si="18"/>
        <v/>
      </c>
      <c r="AC206" s="51" t="str">
        <f t="shared" si="18"/>
        <v/>
      </c>
    </row>
    <row r="207" spans="1:29" s="51" customFormat="1" ht="33.75" customHeight="1">
      <c r="A207" s="52">
        <v>186</v>
      </c>
      <c r="B207" s="342"/>
      <c r="C207" s="343"/>
      <c r="D207" s="344"/>
      <c r="E207" s="45"/>
      <c r="F207" s="53"/>
      <c r="G207" s="53"/>
      <c r="H207" s="53"/>
      <c r="I207" s="53"/>
      <c r="J207" s="169"/>
      <c r="K207" s="162"/>
      <c r="L207" s="166">
        <f t="shared" si="14"/>
        <v>0</v>
      </c>
      <c r="M207" s="183" t="b">
        <v>0</v>
      </c>
      <c r="N207" s="478"/>
      <c r="O207" s="479"/>
      <c r="P207" s="479"/>
      <c r="Q207" s="480"/>
      <c r="R207" s="183" t="b">
        <v>0</v>
      </c>
      <c r="S207" s="53"/>
      <c r="T207" s="55"/>
      <c r="U207" s="56"/>
      <c r="V207" s="50">
        <f t="shared" si="12"/>
        <v>0</v>
      </c>
      <c r="Y207" s="51">
        <f t="shared" si="15"/>
        <v>0</v>
      </c>
      <c r="Z207" s="51">
        <f t="shared" si="16"/>
        <v>0</v>
      </c>
      <c r="AA207" s="51">
        <f t="shared" si="17"/>
        <v>0</v>
      </c>
      <c r="AB207" s="51" t="str">
        <f t="shared" si="18"/>
        <v/>
      </c>
      <c r="AC207" s="51" t="str">
        <f t="shared" si="18"/>
        <v/>
      </c>
    </row>
    <row r="208" spans="1:29" s="51" customFormat="1" ht="33.75" customHeight="1">
      <c r="A208" s="52">
        <v>187</v>
      </c>
      <c r="B208" s="342"/>
      <c r="C208" s="343"/>
      <c r="D208" s="344"/>
      <c r="E208" s="45"/>
      <c r="F208" s="53"/>
      <c r="G208" s="53"/>
      <c r="H208" s="53"/>
      <c r="I208" s="53"/>
      <c r="J208" s="169"/>
      <c r="K208" s="162"/>
      <c r="L208" s="166">
        <f t="shared" si="14"/>
        <v>0</v>
      </c>
      <c r="M208" s="183" t="b">
        <v>0</v>
      </c>
      <c r="N208" s="478"/>
      <c r="O208" s="479"/>
      <c r="P208" s="479"/>
      <c r="Q208" s="480"/>
      <c r="R208" s="183" t="b">
        <v>0</v>
      </c>
      <c r="S208" s="53"/>
      <c r="T208" s="55"/>
      <c r="U208" s="56"/>
      <c r="V208" s="50">
        <f t="shared" si="12"/>
        <v>0</v>
      </c>
      <c r="Y208" s="51">
        <f t="shared" si="15"/>
        <v>0</v>
      </c>
      <c r="Z208" s="51">
        <f t="shared" si="16"/>
        <v>0</v>
      </c>
      <c r="AA208" s="51">
        <f t="shared" si="17"/>
        <v>0</v>
      </c>
      <c r="AB208" s="51" t="str">
        <f t="shared" si="18"/>
        <v/>
      </c>
      <c r="AC208" s="51" t="str">
        <f t="shared" si="18"/>
        <v/>
      </c>
    </row>
    <row r="209" spans="1:29" s="51" customFormat="1" ht="33.75" customHeight="1">
      <c r="A209" s="52">
        <v>188</v>
      </c>
      <c r="B209" s="342"/>
      <c r="C209" s="343"/>
      <c r="D209" s="344"/>
      <c r="E209" s="45"/>
      <c r="F209" s="53"/>
      <c r="G209" s="53"/>
      <c r="H209" s="53"/>
      <c r="I209" s="53"/>
      <c r="J209" s="169"/>
      <c r="K209" s="162"/>
      <c r="L209" s="166">
        <f t="shared" si="14"/>
        <v>0</v>
      </c>
      <c r="M209" s="183" t="b">
        <v>0</v>
      </c>
      <c r="N209" s="478"/>
      <c r="O209" s="479"/>
      <c r="P209" s="479"/>
      <c r="Q209" s="480"/>
      <c r="R209" s="183" t="b">
        <v>0</v>
      </c>
      <c r="S209" s="53"/>
      <c r="T209" s="55"/>
      <c r="U209" s="56"/>
      <c r="V209" s="50">
        <f t="shared" si="12"/>
        <v>0</v>
      </c>
      <c r="Y209" s="51">
        <f t="shared" si="15"/>
        <v>0</v>
      </c>
      <c r="Z209" s="51">
        <f t="shared" si="16"/>
        <v>0</v>
      </c>
      <c r="AA209" s="51">
        <f t="shared" si="17"/>
        <v>0</v>
      </c>
      <c r="AB209" s="51" t="str">
        <f t="shared" si="18"/>
        <v/>
      </c>
      <c r="AC209" s="51" t="str">
        <f t="shared" si="18"/>
        <v/>
      </c>
    </row>
    <row r="210" spans="1:29" s="51" customFormat="1" ht="33.75" customHeight="1">
      <c r="A210" s="52">
        <v>189</v>
      </c>
      <c r="B210" s="342"/>
      <c r="C210" s="343"/>
      <c r="D210" s="344"/>
      <c r="E210" s="45"/>
      <c r="F210" s="53"/>
      <c r="G210" s="53"/>
      <c r="H210" s="53"/>
      <c r="I210" s="53"/>
      <c r="J210" s="169"/>
      <c r="K210" s="162"/>
      <c r="L210" s="166">
        <f t="shared" si="14"/>
        <v>0</v>
      </c>
      <c r="M210" s="183" t="b">
        <v>0</v>
      </c>
      <c r="N210" s="478"/>
      <c r="O210" s="479"/>
      <c r="P210" s="479"/>
      <c r="Q210" s="480"/>
      <c r="R210" s="183" t="b">
        <v>0</v>
      </c>
      <c r="S210" s="53"/>
      <c r="T210" s="55"/>
      <c r="U210" s="56"/>
      <c r="V210" s="50">
        <f t="shared" si="12"/>
        <v>0</v>
      </c>
      <c r="Y210" s="51">
        <f t="shared" si="15"/>
        <v>0</v>
      </c>
      <c r="Z210" s="51">
        <f t="shared" si="16"/>
        <v>0</v>
      </c>
      <c r="AA210" s="51">
        <f t="shared" si="17"/>
        <v>0</v>
      </c>
      <c r="AB210" s="51" t="str">
        <f t="shared" si="18"/>
        <v/>
      </c>
      <c r="AC210" s="51" t="str">
        <f t="shared" si="18"/>
        <v/>
      </c>
    </row>
    <row r="211" spans="1:29" s="51" customFormat="1" ht="33.75" customHeight="1">
      <c r="A211" s="52">
        <v>190</v>
      </c>
      <c r="B211" s="342"/>
      <c r="C211" s="343"/>
      <c r="D211" s="344"/>
      <c r="E211" s="45"/>
      <c r="F211" s="53"/>
      <c r="G211" s="53"/>
      <c r="H211" s="53"/>
      <c r="I211" s="53"/>
      <c r="J211" s="169"/>
      <c r="K211" s="162"/>
      <c r="L211" s="166">
        <f t="shared" si="14"/>
        <v>0</v>
      </c>
      <c r="M211" s="183" t="b">
        <v>0</v>
      </c>
      <c r="N211" s="478"/>
      <c r="O211" s="479"/>
      <c r="P211" s="479"/>
      <c r="Q211" s="480"/>
      <c r="R211" s="183" t="b">
        <v>0</v>
      </c>
      <c r="S211" s="53"/>
      <c r="T211" s="55"/>
      <c r="U211" s="56"/>
      <c r="V211" s="50">
        <f t="shared" si="12"/>
        <v>0</v>
      </c>
      <c r="Y211" s="51">
        <f t="shared" si="15"/>
        <v>0</v>
      </c>
      <c r="Z211" s="51">
        <f t="shared" si="16"/>
        <v>0</v>
      </c>
      <c r="AA211" s="51">
        <f t="shared" si="17"/>
        <v>0</v>
      </c>
      <c r="AB211" s="51" t="str">
        <f t="shared" si="18"/>
        <v/>
      </c>
      <c r="AC211" s="51" t="str">
        <f t="shared" si="18"/>
        <v/>
      </c>
    </row>
    <row r="212" spans="1:29" s="51" customFormat="1" ht="33.75" customHeight="1">
      <c r="A212" s="52">
        <v>191</v>
      </c>
      <c r="B212" s="342"/>
      <c r="C212" s="343"/>
      <c r="D212" s="344"/>
      <c r="E212" s="45"/>
      <c r="F212" s="53"/>
      <c r="G212" s="53"/>
      <c r="H212" s="53"/>
      <c r="I212" s="53"/>
      <c r="J212" s="169"/>
      <c r="K212" s="162"/>
      <c r="L212" s="166">
        <f t="shared" si="14"/>
        <v>0</v>
      </c>
      <c r="M212" s="183" t="b">
        <v>0</v>
      </c>
      <c r="N212" s="478"/>
      <c r="O212" s="479"/>
      <c r="P212" s="479"/>
      <c r="Q212" s="480"/>
      <c r="R212" s="183" t="b">
        <v>0</v>
      </c>
      <c r="S212" s="53"/>
      <c r="T212" s="55"/>
      <c r="U212" s="56"/>
      <c r="V212" s="50">
        <f t="shared" si="12"/>
        <v>0</v>
      </c>
      <c r="Y212" s="51">
        <f t="shared" si="15"/>
        <v>0</v>
      </c>
      <c r="Z212" s="51">
        <f t="shared" si="16"/>
        <v>0</v>
      </c>
      <c r="AA212" s="51">
        <f t="shared" si="17"/>
        <v>0</v>
      </c>
      <c r="AB212" s="51" t="str">
        <f t="shared" si="18"/>
        <v/>
      </c>
      <c r="AC212" s="51" t="str">
        <f t="shared" si="18"/>
        <v/>
      </c>
    </row>
    <row r="213" spans="1:29" s="51" customFormat="1" ht="33.75" customHeight="1">
      <c r="A213" s="52">
        <v>192</v>
      </c>
      <c r="B213" s="342"/>
      <c r="C213" s="343"/>
      <c r="D213" s="344"/>
      <c r="E213" s="45"/>
      <c r="F213" s="53"/>
      <c r="G213" s="53"/>
      <c r="H213" s="53"/>
      <c r="I213" s="53"/>
      <c r="J213" s="169"/>
      <c r="K213" s="162"/>
      <c r="L213" s="166">
        <f t="shared" si="14"/>
        <v>0</v>
      </c>
      <c r="M213" s="183" t="b">
        <v>0</v>
      </c>
      <c r="N213" s="478"/>
      <c r="O213" s="479"/>
      <c r="P213" s="479"/>
      <c r="Q213" s="480"/>
      <c r="R213" s="183" t="b">
        <v>0</v>
      </c>
      <c r="S213" s="53"/>
      <c r="T213" s="55"/>
      <c r="U213" s="56"/>
      <c r="V213" s="50">
        <f t="shared" si="12"/>
        <v>0</v>
      </c>
      <c r="Y213" s="51">
        <f t="shared" si="15"/>
        <v>0</v>
      </c>
      <c r="Z213" s="51">
        <f t="shared" si="16"/>
        <v>0</v>
      </c>
      <c r="AA213" s="51">
        <f t="shared" si="17"/>
        <v>0</v>
      </c>
      <c r="AB213" s="51" t="str">
        <f t="shared" si="18"/>
        <v/>
      </c>
      <c r="AC213" s="51" t="str">
        <f t="shared" si="18"/>
        <v/>
      </c>
    </row>
    <row r="214" spans="1:29" s="51" customFormat="1" ht="33.75" customHeight="1">
      <c r="A214" s="52">
        <v>193</v>
      </c>
      <c r="B214" s="342"/>
      <c r="C214" s="343"/>
      <c r="D214" s="344"/>
      <c r="E214" s="45"/>
      <c r="F214" s="53"/>
      <c r="G214" s="53"/>
      <c r="H214" s="53"/>
      <c r="I214" s="53"/>
      <c r="J214" s="169"/>
      <c r="K214" s="162"/>
      <c r="L214" s="166">
        <f t="shared" si="14"/>
        <v>0</v>
      </c>
      <c r="M214" s="183" t="b">
        <v>0</v>
      </c>
      <c r="N214" s="478"/>
      <c r="O214" s="479"/>
      <c r="P214" s="479"/>
      <c r="Q214" s="480"/>
      <c r="R214" s="183" t="b">
        <v>0</v>
      </c>
      <c r="S214" s="53"/>
      <c r="T214" s="55"/>
      <c r="U214" s="56"/>
      <c r="V214" s="50">
        <f t="shared" ref="V214:V277" si="19">MAX(F214:I214)</f>
        <v>0</v>
      </c>
      <c r="Y214" s="51">
        <f t="shared" si="15"/>
        <v>0</v>
      </c>
      <c r="Z214" s="51">
        <f t="shared" si="16"/>
        <v>0</v>
      </c>
      <c r="AA214" s="51">
        <f t="shared" si="17"/>
        <v>0</v>
      </c>
      <c r="AB214" s="51" t="str">
        <f t="shared" si="18"/>
        <v/>
      </c>
      <c r="AC214" s="51" t="str">
        <f t="shared" ref="AC214" si="20">IF(I214="","",IF($E214="男",1,IF($E214="女",2,"")))</f>
        <v/>
      </c>
    </row>
    <row r="215" spans="1:29" s="51" customFormat="1" ht="33.75" customHeight="1">
      <c r="A215" s="52">
        <v>194</v>
      </c>
      <c r="B215" s="342"/>
      <c r="C215" s="343"/>
      <c r="D215" s="344"/>
      <c r="E215" s="45"/>
      <c r="F215" s="53"/>
      <c r="G215" s="53"/>
      <c r="H215" s="53"/>
      <c r="I215" s="53"/>
      <c r="J215" s="169"/>
      <c r="K215" s="162"/>
      <c r="L215" s="166">
        <f t="shared" ref="L215:L278" si="21">COUNT(F215:I215)</f>
        <v>0</v>
      </c>
      <c r="M215" s="183" t="b">
        <v>0</v>
      </c>
      <c r="N215" s="478"/>
      <c r="O215" s="479"/>
      <c r="P215" s="479"/>
      <c r="Q215" s="480"/>
      <c r="R215" s="183" t="b">
        <v>0</v>
      </c>
      <c r="S215" s="53"/>
      <c r="T215" s="55"/>
      <c r="U215" s="56"/>
      <c r="V215" s="50">
        <f t="shared" si="19"/>
        <v>0</v>
      </c>
      <c r="Y215" s="51">
        <f t="shared" ref="Y215:Y278" si="22">MAX(F215:I215)</f>
        <v>0</v>
      </c>
      <c r="Z215" s="51">
        <f t="shared" ref="Z215:Z278" si="23">COUNTA(F215:I215)</f>
        <v>0</v>
      </c>
      <c r="AA215" s="51">
        <f t="shared" ref="AA215:AA278" si="24">COUNTA($J215)</f>
        <v>0</v>
      </c>
      <c r="AB215" s="51" t="str">
        <f t="shared" ref="AB215:AC278" si="25">IF(H215="","",IF($E215="男",1,IF($E215="女",2,"")))</f>
        <v/>
      </c>
      <c r="AC215" s="51" t="str">
        <f t="shared" si="25"/>
        <v/>
      </c>
    </row>
    <row r="216" spans="1:29" s="51" customFormat="1" ht="33.75" customHeight="1">
      <c r="A216" s="52">
        <v>195</v>
      </c>
      <c r="B216" s="342"/>
      <c r="C216" s="343"/>
      <c r="D216" s="344"/>
      <c r="E216" s="45"/>
      <c r="F216" s="53"/>
      <c r="G216" s="53"/>
      <c r="H216" s="53"/>
      <c r="I216" s="53"/>
      <c r="J216" s="169"/>
      <c r="K216" s="162"/>
      <c r="L216" s="166">
        <f t="shared" si="21"/>
        <v>0</v>
      </c>
      <c r="M216" s="183" t="b">
        <v>0</v>
      </c>
      <c r="N216" s="478"/>
      <c r="O216" s="479"/>
      <c r="P216" s="479"/>
      <c r="Q216" s="480"/>
      <c r="R216" s="183" t="b">
        <v>0</v>
      </c>
      <c r="S216" s="53"/>
      <c r="T216" s="55"/>
      <c r="U216" s="56"/>
      <c r="V216" s="50">
        <f t="shared" si="19"/>
        <v>0</v>
      </c>
      <c r="Y216" s="51">
        <f t="shared" si="22"/>
        <v>0</v>
      </c>
      <c r="Z216" s="51">
        <f t="shared" si="23"/>
        <v>0</v>
      </c>
      <c r="AA216" s="51">
        <f t="shared" si="24"/>
        <v>0</v>
      </c>
      <c r="AB216" s="51" t="str">
        <f t="shared" si="25"/>
        <v/>
      </c>
      <c r="AC216" s="51" t="str">
        <f t="shared" si="25"/>
        <v/>
      </c>
    </row>
    <row r="217" spans="1:29" s="51" customFormat="1" ht="33.75" customHeight="1">
      <c r="A217" s="52">
        <v>196</v>
      </c>
      <c r="B217" s="342"/>
      <c r="C217" s="343"/>
      <c r="D217" s="344"/>
      <c r="E217" s="45"/>
      <c r="F217" s="53"/>
      <c r="G217" s="53"/>
      <c r="H217" s="53"/>
      <c r="I217" s="53"/>
      <c r="J217" s="169"/>
      <c r="K217" s="162"/>
      <c r="L217" s="166">
        <f t="shared" si="21"/>
        <v>0</v>
      </c>
      <c r="M217" s="183" t="b">
        <v>0</v>
      </c>
      <c r="N217" s="478"/>
      <c r="O217" s="479"/>
      <c r="P217" s="479"/>
      <c r="Q217" s="480"/>
      <c r="R217" s="183" t="b">
        <v>0</v>
      </c>
      <c r="S217" s="53"/>
      <c r="T217" s="55"/>
      <c r="U217" s="56"/>
      <c r="V217" s="50">
        <f t="shared" si="19"/>
        <v>0</v>
      </c>
      <c r="Y217" s="51">
        <f t="shared" si="22"/>
        <v>0</v>
      </c>
      <c r="Z217" s="51">
        <f t="shared" si="23"/>
        <v>0</v>
      </c>
      <c r="AA217" s="51">
        <f t="shared" si="24"/>
        <v>0</v>
      </c>
      <c r="AB217" s="51" t="str">
        <f t="shared" si="25"/>
        <v/>
      </c>
      <c r="AC217" s="51" t="str">
        <f t="shared" si="25"/>
        <v/>
      </c>
    </row>
    <row r="218" spans="1:29" s="51" customFormat="1" ht="33.75" customHeight="1">
      <c r="A218" s="52">
        <v>197</v>
      </c>
      <c r="B218" s="342"/>
      <c r="C218" s="343"/>
      <c r="D218" s="344"/>
      <c r="E218" s="45"/>
      <c r="F218" s="53"/>
      <c r="G218" s="53"/>
      <c r="H218" s="53"/>
      <c r="I218" s="53"/>
      <c r="J218" s="169"/>
      <c r="K218" s="162"/>
      <c r="L218" s="166">
        <f t="shared" si="21"/>
        <v>0</v>
      </c>
      <c r="M218" s="183" t="b">
        <v>0</v>
      </c>
      <c r="N218" s="478"/>
      <c r="O218" s="479"/>
      <c r="P218" s="479"/>
      <c r="Q218" s="480"/>
      <c r="R218" s="183" t="b">
        <v>0</v>
      </c>
      <c r="S218" s="53"/>
      <c r="T218" s="55"/>
      <c r="U218" s="56"/>
      <c r="V218" s="50">
        <f t="shared" si="19"/>
        <v>0</v>
      </c>
      <c r="Y218" s="51">
        <f t="shared" si="22"/>
        <v>0</v>
      </c>
      <c r="Z218" s="51">
        <f t="shared" si="23"/>
        <v>0</v>
      </c>
      <c r="AA218" s="51">
        <f t="shared" si="24"/>
        <v>0</v>
      </c>
      <c r="AB218" s="51" t="str">
        <f t="shared" si="25"/>
        <v/>
      </c>
      <c r="AC218" s="51" t="str">
        <f t="shared" si="25"/>
        <v/>
      </c>
    </row>
    <row r="219" spans="1:29" s="51" customFormat="1" ht="33.75" customHeight="1">
      <c r="A219" s="52">
        <v>198</v>
      </c>
      <c r="B219" s="342"/>
      <c r="C219" s="343"/>
      <c r="D219" s="344"/>
      <c r="E219" s="45"/>
      <c r="F219" s="53"/>
      <c r="G219" s="53"/>
      <c r="H219" s="53"/>
      <c r="I219" s="53"/>
      <c r="J219" s="169"/>
      <c r="K219" s="162"/>
      <c r="L219" s="166">
        <f t="shared" si="21"/>
        <v>0</v>
      </c>
      <c r="M219" s="183" t="b">
        <v>0</v>
      </c>
      <c r="N219" s="478"/>
      <c r="O219" s="479"/>
      <c r="P219" s="479"/>
      <c r="Q219" s="480"/>
      <c r="R219" s="183" t="b">
        <v>0</v>
      </c>
      <c r="S219" s="53"/>
      <c r="T219" s="55"/>
      <c r="U219" s="56"/>
      <c r="V219" s="50">
        <f t="shared" si="19"/>
        <v>0</v>
      </c>
      <c r="Y219" s="51">
        <f t="shared" si="22"/>
        <v>0</v>
      </c>
      <c r="Z219" s="51">
        <f t="shared" si="23"/>
        <v>0</v>
      </c>
      <c r="AA219" s="51">
        <f t="shared" si="24"/>
        <v>0</v>
      </c>
      <c r="AB219" s="51" t="str">
        <f t="shared" si="25"/>
        <v/>
      </c>
      <c r="AC219" s="51" t="str">
        <f t="shared" si="25"/>
        <v/>
      </c>
    </row>
    <row r="220" spans="1:29" s="51" customFormat="1" ht="33.75" customHeight="1">
      <c r="A220" s="52">
        <v>199</v>
      </c>
      <c r="B220" s="342"/>
      <c r="C220" s="343"/>
      <c r="D220" s="344"/>
      <c r="E220" s="45"/>
      <c r="F220" s="53"/>
      <c r="G220" s="53"/>
      <c r="H220" s="53"/>
      <c r="I220" s="53"/>
      <c r="J220" s="169"/>
      <c r="K220" s="162"/>
      <c r="L220" s="166">
        <f t="shared" si="21"/>
        <v>0</v>
      </c>
      <c r="M220" s="183" t="b">
        <v>0</v>
      </c>
      <c r="N220" s="478"/>
      <c r="O220" s="479"/>
      <c r="P220" s="479"/>
      <c r="Q220" s="480"/>
      <c r="R220" s="183" t="b">
        <v>0</v>
      </c>
      <c r="S220" s="53"/>
      <c r="T220" s="55"/>
      <c r="U220" s="56"/>
      <c r="V220" s="50">
        <f t="shared" si="19"/>
        <v>0</v>
      </c>
      <c r="Y220" s="51">
        <f t="shared" si="22"/>
        <v>0</v>
      </c>
      <c r="Z220" s="51">
        <f t="shared" si="23"/>
        <v>0</v>
      </c>
      <c r="AA220" s="51">
        <f t="shared" si="24"/>
        <v>0</v>
      </c>
      <c r="AB220" s="51" t="str">
        <f t="shared" si="25"/>
        <v/>
      </c>
      <c r="AC220" s="51" t="str">
        <f t="shared" si="25"/>
        <v/>
      </c>
    </row>
    <row r="221" spans="1:29" s="51" customFormat="1" ht="33.75" customHeight="1">
      <c r="A221" s="52">
        <v>200</v>
      </c>
      <c r="B221" s="342"/>
      <c r="C221" s="343"/>
      <c r="D221" s="344"/>
      <c r="E221" s="45"/>
      <c r="F221" s="53"/>
      <c r="G221" s="53"/>
      <c r="H221" s="53"/>
      <c r="I221" s="53"/>
      <c r="J221" s="169"/>
      <c r="K221" s="162"/>
      <c r="L221" s="166">
        <f t="shared" si="21"/>
        <v>0</v>
      </c>
      <c r="M221" s="183" t="b">
        <v>0</v>
      </c>
      <c r="N221" s="478"/>
      <c r="O221" s="479"/>
      <c r="P221" s="479"/>
      <c r="Q221" s="480"/>
      <c r="R221" s="183" t="b">
        <v>0</v>
      </c>
      <c r="S221" s="53"/>
      <c r="T221" s="55"/>
      <c r="U221" s="56"/>
      <c r="V221" s="50">
        <f t="shared" si="19"/>
        <v>0</v>
      </c>
      <c r="Y221" s="51">
        <f t="shared" si="22"/>
        <v>0</v>
      </c>
      <c r="Z221" s="51">
        <f t="shared" si="23"/>
        <v>0</v>
      </c>
      <c r="AA221" s="51">
        <f t="shared" si="24"/>
        <v>0</v>
      </c>
      <c r="AB221" s="51" t="str">
        <f t="shared" si="25"/>
        <v/>
      </c>
      <c r="AC221" s="51" t="str">
        <f t="shared" si="25"/>
        <v/>
      </c>
    </row>
    <row r="222" spans="1:29" s="51" customFormat="1" ht="33.75" customHeight="1">
      <c r="A222" s="52">
        <v>201</v>
      </c>
      <c r="B222" s="342"/>
      <c r="C222" s="343"/>
      <c r="D222" s="344"/>
      <c r="E222" s="45"/>
      <c r="F222" s="53"/>
      <c r="G222" s="53"/>
      <c r="H222" s="53"/>
      <c r="I222" s="53"/>
      <c r="J222" s="169"/>
      <c r="K222" s="162"/>
      <c r="L222" s="166">
        <f t="shared" si="21"/>
        <v>0</v>
      </c>
      <c r="M222" s="183" t="b">
        <v>0</v>
      </c>
      <c r="N222" s="478"/>
      <c r="O222" s="479"/>
      <c r="P222" s="479"/>
      <c r="Q222" s="480"/>
      <c r="R222" s="183" t="b">
        <v>0</v>
      </c>
      <c r="S222" s="53"/>
      <c r="T222" s="55"/>
      <c r="U222" s="56"/>
      <c r="V222" s="50">
        <f t="shared" si="19"/>
        <v>0</v>
      </c>
      <c r="Y222" s="51">
        <f t="shared" si="22"/>
        <v>0</v>
      </c>
      <c r="Z222" s="51">
        <f t="shared" si="23"/>
        <v>0</v>
      </c>
      <c r="AA222" s="51">
        <f t="shared" si="24"/>
        <v>0</v>
      </c>
      <c r="AB222" s="51" t="str">
        <f t="shared" si="25"/>
        <v/>
      </c>
      <c r="AC222" s="51" t="str">
        <f t="shared" si="25"/>
        <v/>
      </c>
    </row>
    <row r="223" spans="1:29" s="51" customFormat="1" ht="33.75" customHeight="1">
      <c r="A223" s="52">
        <v>202</v>
      </c>
      <c r="B223" s="342"/>
      <c r="C223" s="343"/>
      <c r="D223" s="344"/>
      <c r="E223" s="45"/>
      <c r="F223" s="53"/>
      <c r="G223" s="53"/>
      <c r="H223" s="53"/>
      <c r="I223" s="53"/>
      <c r="J223" s="169"/>
      <c r="K223" s="162"/>
      <c r="L223" s="166">
        <f t="shared" si="21"/>
        <v>0</v>
      </c>
      <c r="M223" s="183" t="b">
        <v>0</v>
      </c>
      <c r="N223" s="478"/>
      <c r="O223" s="479"/>
      <c r="P223" s="479"/>
      <c r="Q223" s="480"/>
      <c r="R223" s="183" t="b">
        <v>0</v>
      </c>
      <c r="S223" s="53"/>
      <c r="T223" s="55"/>
      <c r="U223" s="56"/>
      <c r="V223" s="50">
        <f t="shared" si="19"/>
        <v>0</v>
      </c>
      <c r="Y223" s="51">
        <f t="shared" si="22"/>
        <v>0</v>
      </c>
      <c r="Z223" s="51">
        <f t="shared" si="23"/>
        <v>0</v>
      </c>
      <c r="AA223" s="51">
        <f t="shared" si="24"/>
        <v>0</v>
      </c>
      <c r="AB223" s="51" t="str">
        <f t="shared" si="25"/>
        <v/>
      </c>
      <c r="AC223" s="51" t="str">
        <f t="shared" si="25"/>
        <v/>
      </c>
    </row>
    <row r="224" spans="1:29" s="51" customFormat="1" ht="33.75" customHeight="1">
      <c r="A224" s="52">
        <v>203</v>
      </c>
      <c r="B224" s="342"/>
      <c r="C224" s="343"/>
      <c r="D224" s="344"/>
      <c r="E224" s="45"/>
      <c r="F224" s="53"/>
      <c r="G224" s="53"/>
      <c r="H224" s="53"/>
      <c r="I224" s="53"/>
      <c r="J224" s="169"/>
      <c r="K224" s="162"/>
      <c r="L224" s="166">
        <f t="shared" si="21"/>
        <v>0</v>
      </c>
      <c r="M224" s="183" t="b">
        <v>0</v>
      </c>
      <c r="N224" s="478"/>
      <c r="O224" s="479"/>
      <c r="P224" s="479"/>
      <c r="Q224" s="480"/>
      <c r="R224" s="183" t="b">
        <v>0</v>
      </c>
      <c r="S224" s="53"/>
      <c r="T224" s="55"/>
      <c r="U224" s="56"/>
      <c r="V224" s="50">
        <f t="shared" si="19"/>
        <v>0</v>
      </c>
      <c r="Y224" s="51">
        <f t="shared" si="22"/>
        <v>0</v>
      </c>
      <c r="Z224" s="51">
        <f t="shared" si="23"/>
        <v>0</v>
      </c>
      <c r="AA224" s="51">
        <f t="shared" si="24"/>
        <v>0</v>
      </c>
      <c r="AB224" s="51" t="str">
        <f t="shared" si="25"/>
        <v/>
      </c>
      <c r="AC224" s="51" t="str">
        <f t="shared" si="25"/>
        <v/>
      </c>
    </row>
    <row r="225" spans="1:29" s="51" customFormat="1" ht="33.75" customHeight="1">
      <c r="A225" s="52">
        <v>204</v>
      </c>
      <c r="B225" s="342"/>
      <c r="C225" s="343"/>
      <c r="D225" s="344"/>
      <c r="E225" s="45"/>
      <c r="F225" s="53"/>
      <c r="G225" s="53"/>
      <c r="H225" s="53"/>
      <c r="I225" s="53"/>
      <c r="J225" s="169"/>
      <c r="K225" s="162"/>
      <c r="L225" s="166">
        <f t="shared" si="21"/>
        <v>0</v>
      </c>
      <c r="M225" s="183" t="b">
        <v>0</v>
      </c>
      <c r="N225" s="478"/>
      <c r="O225" s="479"/>
      <c r="P225" s="479"/>
      <c r="Q225" s="480"/>
      <c r="R225" s="183" t="b">
        <v>0</v>
      </c>
      <c r="S225" s="53"/>
      <c r="T225" s="55"/>
      <c r="U225" s="56"/>
      <c r="V225" s="50">
        <f t="shared" si="19"/>
        <v>0</v>
      </c>
      <c r="Y225" s="51">
        <f t="shared" si="22"/>
        <v>0</v>
      </c>
      <c r="Z225" s="51">
        <f t="shared" si="23"/>
        <v>0</v>
      </c>
      <c r="AA225" s="51">
        <f t="shared" si="24"/>
        <v>0</v>
      </c>
      <c r="AB225" s="51" t="str">
        <f t="shared" si="25"/>
        <v/>
      </c>
      <c r="AC225" s="51" t="str">
        <f t="shared" si="25"/>
        <v/>
      </c>
    </row>
    <row r="226" spans="1:29" s="51" customFormat="1" ht="33.75" customHeight="1">
      <c r="A226" s="52">
        <v>205</v>
      </c>
      <c r="B226" s="342"/>
      <c r="C226" s="343"/>
      <c r="D226" s="344"/>
      <c r="E226" s="45"/>
      <c r="F226" s="53"/>
      <c r="G226" s="53"/>
      <c r="H226" s="53"/>
      <c r="I226" s="53"/>
      <c r="J226" s="169"/>
      <c r="K226" s="162"/>
      <c r="L226" s="166">
        <f t="shared" si="21"/>
        <v>0</v>
      </c>
      <c r="M226" s="183" t="b">
        <v>0</v>
      </c>
      <c r="N226" s="478"/>
      <c r="O226" s="479"/>
      <c r="P226" s="479"/>
      <c r="Q226" s="480"/>
      <c r="R226" s="183" t="b">
        <v>0</v>
      </c>
      <c r="S226" s="53"/>
      <c r="T226" s="55"/>
      <c r="U226" s="56"/>
      <c r="V226" s="50">
        <f t="shared" si="19"/>
        <v>0</v>
      </c>
      <c r="Y226" s="51">
        <f t="shared" si="22"/>
        <v>0</v>
      </c>
      <c r="Z226" s="51">
        <f t="shared" si="23"/>
        <v>0</v>
      </c>
      <c r="AA226" s="51">
        <f t="shared" si="24"/>
        <v>0</v>
      </c>
      <c r="AB226" s="51" t="str">
        <f t="shared" si="25"/>
        <v/>
      </c>
      <c r="AC226" s="51" t="str">
        <f t="shared" si="25"/>
        <v/>
      </c>
    </row>
    <row r="227" spans="1:29" s="51" customFormat="1" ht="33.75" customHeight="1">
      <c r="A227" s="52">
        <v>206</v>
      </c>
      <c r="B227" s="342"/>
      <c r="C227" s="343"/>
      <c r="D227" s="344"/>
      <c r="E227" s="45"/>
      <c r="F227" s="53"/>
      <c r="G227" s="53"/>
      <c r="H227" s="53"/>
      <c r="I227" s="53"/>
      <c r="J227" s="169"/>
      <c r="K227" s="162"/>
      <c r="L227" s="166">
        <f t="shared" si="21"/>
        <v>0</v>
      </c>
      <c r="M227" s="183" t="b">
        <v>0</v>
      </c>
      <c r="N227" s="478"/>
      <c r="O227" s="479"/>
      <c r="P227" s="479"/>
      <c r="Q227" s="480"/>
      <c r="R227" s="183" t="b">
        <v>0</v>
      </c>
      <c r="S227" s="53"/>
      <c r="T227" s="55"/>
      <c r="U227" s="56"/>
      <c r="V227" s="50">
        <f t="shared" si="19"/>
        <v>0</v>
      </c>
      <c r="Y227" s="51">
        <f t="shared" si="22"/>
        <v>0</v>
      </c>
      <c r="Z227" s="51">
        <f t="shared" si="23"/>
        <v>0</v>
      </c>
      <c r="AA227" s="51">
        <f t="shared" si="24"/>
        <v>0</v>
      </c>
      <c r="AB227" s="51" t="str">
        <f t="shared" si="25"/>
        <v/>
      </c>
      <c r="AC227" s="51" t="str">
        <f t="shared" si="25"/>
        <v/>
      </c>
    </row>
    <row r="228" spans="1:29" s="51" customFormat="1" ht="33.75" customHeight="1">
      <c r="A228" s="52">
        <v>207</v>
      </c>
      <c r="B228" s="342"/>
      <c r="C228" s="343"/>
      <c r="D228" s="344"/>
      <c r="E228" s="45"/>
      <c r="F228" s="53"/>
      <c r="G228" s="53"/>
      <c r="H228" s="53"/>
      <c r="I228" s="53"/>
      <c r="J228" s="169"/>
      <c r="K228" s="162"/>
      <c r="L228" s="166">
        <f t="shared" si="21"/>
        <v>0</v>
      </c>
      <c r="M228" s="183" t="b">
        <v>0</v>
      </c>
      <c r="N228" s="478"/>
      <c r="O228" s="479"/>
      <c r="P228" s="479"/>
      <c r="Q228" s="480"/>
      <c r="R228" s="183" t="b">
        <v>0</v>
      </c>
      <c r="S228" s="53"/>
      <c r="T228" s="55"/>
      <c r="U228" s="56"/>
      <c r="V228" s="50">
        <f t="shared" si="19"/>
        <v>0</v>
      </c>
      <c r="Y228" s="51">
        <f t="shared" si="22"/>
        <v>0</v>
      </c>
      <c r="Z228" s="51">
        <f t="shared" si="23"/>
        <v>0</v>
      </c>
      <c r="AA228" s="51">
        <f t="shared" si="24"/>
        <v>0</v>
      </c>
      <c r="AB228" s="51" t="str">
        <f t="shared" si="25"/>
        <v/>
      </c>
      <c r="AC228" s="51" t="str">
        <f t="shared" si="25"/>
        <v/>
      </c>
    </row>
    <row r="229" spans="1:29" s="51" customFormat="1" ht="33.75" customHeight="1">
      <c r="A229" s="52">
        <v>208</v>
      </c>
      <c r="B229" s="342"/>
      <c r="C229" s="343"/>
      <c r="D229" s="344"/>
      <c r="E229" s="45"/>
      <c r="F229" s="53"/>
      <c r="G229" s="53"/>
      <c r="H229" s="53"/>
      <c r="I229" s="53"/>
      <c r="J229" s="169"/>
      <c r="K229" s="162"/>
      <c r="L229" s="166">
        <f t="shared" si="21"/>
        <v>0</v>
      </c>
      <c r="M229" s="183" t="b">
        <v>0</v>
      </c>
      <c r="N229" s="478"/>
      <c r="O229" s="479"/>
      <c r="P229" s="479"/>
      <c r="Q229" s="480"/>
      <c r="R229" s="183" t="b">
        <v>0</v>
      </c>
      <c r="S229" s="53"/>
      <c r="T229" s="55"/>
      <c r="U229" s="56"/>
      <c r="V229" s="50">
        <f t="shared" si="19"/>
        <v>0</v>
      </c>
      <c r="Y229" s="51">
        <f t="shared" si="22"/>
        <v>0</v>
      </c>
      <c r="Z229" s="51">
        <f t="shared" si="23"/>
        <v>0</v>
      </c>
      <c r="AA229" s="51">
        <f t="shared" si="24"/>
        <v>0</v>
      </c>
      <c r="AB229" s="51" t="str">
        <f t="shared" si="25"/>
        <v/>
      </c>
      <c r="AC229" s="51" t="str">
        <f t="shared" si="25"/>
        <v/>
      </c>
    </row>
    <row r="230" spans="1:29" s="51" customFormat="1" ht="33.75" customHeight="1">
      <c r="A230" s="52">
        <v>209</v>
      </c>
      <c r="B230" s="342"/>
      <c r="C230" s="343"/>
      <c r="D230" s="344"/>
      <c r="E230" s="45"/>
      <c r="F230" s="53"/>
      <c r="G230" s="53"/>
      <c r="H230" s="53"/>
      <c r="I230" s="53"/>
      <c r="J230" s="169"/>
      <c r="K230" s="162"/>
      <c r="L230" s="166">
        <f t="shared" si="21"/>
        <v>0</v>
      </c>
      <c r="M230" s="183" t="b">
        <v>0</v>
      </c>
      <c r="N230" s="478"/>
      <c r="O230" s="479"/>
      <c r="P230" s="479"/>
      <c r="Q230" s="480"/>
      <c r="R230" s="183" t="b">
        <v>0</v>
      </c>
      <c r="S230" s="53"/>
      <c r="T230" s="55"/>
      <c r="U230" s="56"/>
      <c r="V230" s="50">
        <f t="shared" si="19"/>
        <v>0</v>
      </c>
      <c r="Y230" s="51">
        <f t="shared" si="22"/>
        <v>0</v>
      </c>
      <c r="Z230" s="51">
        <f t="shared" si="23"/>
        <v>0</v>
      </c>
      <c r="AA230" s="51">
        <f t="shared" si="24"/>
        <v>0</v>
      </c>
      <c r="AB230" s="51" t="str">
        <f t="shared" si="25"/>
        <v/>
      </c>
      <c r="AC230" s="51" t="str">
        <f t="shared" si="25"/>
        <v/>
      </c>
    </row>
    <row r="231" spans="1:29" s="51" customFormat="1" ht="33.75" customHeight="1">
      <c r="A231" s="52">
        <v>210</v>
      </c>
      <c r="B231" s="342"/>
      <c r="C231" s="343"/>
      <c r="D231" s="344"/>
      <c r="E231" s="45"/>
      <c r="F231" s="53"/>
      <c r="G231" s="53"/>
      <c r="H231" s="53"/>
      <c r="I231" s="53"/>
      <c r="J231" s="169"/>
      <c r="K231" s="162"/>
      <c r="L231" s="166">
        <f t="shared" si="21"/>
        <v>0</v>
      </c>
      <c r="M231" s="183" t="b">
        <v>0</v>
      </c>
      <c r="N231" s="478"/>
      <c r="O231" s="479"/>
      <c r="P231" s="479"/>
      <c r="Q231" s="480"/>
      <c r="R231" s="183" t="b">
        <v>0</v>
      </c>
      <c r="S231" s="53"/>
      <c r="T231" s="55"/>
      <c r="U231" s="56"/>
      <c r="V231" s="50">
        <f t="shared" si="19"/>
        <v>0</v>
      </c>
      <c r="Y231" s="51">
        <f t="shared" si="22"/>
        <v>0</v>
      </c>
      <c r="Z231" s="51">
        <f t="shared" si="23"/>
        <v>0</v>
      </c>
      <c r="AA231" s="51">
        <f t="shared" si="24"/>
        <v>0</v>
      </c>
      <c r="AB231" s="51" t="str">
        <f t="shared" si="25"/>
        <v/>
      </c>
      <c r="AC231" s="51" t="str">
        <f t="shared" si="25"/>
        <v/>
      </c>
    </row>
    <row r="232" spans="1:29" s="51" customFormat="1" ht="33.75" customHeight="1">
      <c r="A232" s="52">
        <v>211</v>
      </c>
      <c r="B232" s="342"/>
      <c r="C232" s="343"/>
      <c r="D232" s="344"/>
      <c r="E232" s="45"/>
      <c r="F232" s="53"/>
      <c r="G232" s="53"/>
      <c r="H232" s="53"/>
      <c r="I232" s="53"/>
      <c r="J232" s="169"/>
      <c r="K232" s="162"/>
      <c r="L232" s="166">
        <f t="shared" si="21"/>
        <v>0</v>
      </c>
      <c r="M232" s="183" t="b">
        <v>0</v>
      </c>
      <c r="N232" s="478"/>
      <c r="O232" s="479"/>
      <c r="P232" s="479"/>
      <c r="Q232" s="480"/>
      <c r="R232" s="183" t="b">
        <v>0</v>
      </c>
      <c r="S232" s="53"/>
      <c r="T232" s="55"/>
      <c r="U232" s="56"/>
      <c r="V232" s="50">
        <f t="shared" si="19"/>
        <v>0</v>
      </c>
      <c r="Y232" s="51">
        <f t="shared" si="22"/>
        <v>0</v>
      </c>
      <c r="Z232" s="51">
        <f t="shared" si="23"/>
        <v>0</v>
      </c>
      <c r="AA232" s="51">
        <f t="shared" si="24"/>
        <v>0</v>
      </c>
      <c r="AB232" s="51" t="str">
        <f t="shared" si="25"/>
        <v/>
      </c>
      <c r="AC232" s="51" t="str">
        <f t="shared" si="25"/>
        <v/>
      </c>
    </row>
    <row r="233" spans="1:29" s="51" customFormat="1" ht="33.75" customHeight="1">
      <c r="A233" s="52">
        <v>212</v>
      </c>
      <c r="B233" s="342"/>
      <c r="C233" s="343"/>
      <c r="D233" s="344"/>
      <c r="E233" s="45"/>
      <c r="F233" s="53"/>
      <c r="G233" s="53"/>
      <c r="H233" s="53"/>
      <c r="I233" s="53"/>
      <c r="J233" s="169"/>
      <c r="K233" s="162"/>
      <c r="L233" s="166">
        <f t="shared" si="21"/>
        <v>0</v>
      </c>
      <c r="M233" s="183" t="b">
        <v>0</v>
      </c>
      <c r="N233" s="478"/>
      <c r="O233" s="479"/>
      <c r="P233" s="479"/>
      <c r="Q233" s="480"/>
      <c r="R233" s="183" t="b">
        <v>0</v>
      </c>
      <c r="S233" s="53"/>
      <c r="T233" s="55"/>
      <c r="U233" s="56"/>
      <c r="V233" s="50">
        <f t="shared" si="19"/>
        <v>0</v>
      </c>
      <c r="Y233" s="51">
        <f t="shared" si="22"/>
        <v>0</v>
      </c>
      <c r="Z233" s="51">
        <f t="shared" si="23"/>
        <v>0</v>
      </c>
      <c r="AA233" s="51">
        <f t="shared" si="24"/>
        <v>0</v>
      </c>
      <c r="AB233" s="51" t="str">
        <f t="shared" si="25"/>
        <v/>
      </c>
      <c r="AC233" s="51" t="str">
        <f t="shared" si="25"/>
        <v/>
      </c>
    </row>
    <row r="234" spans="1:29" s="51" customFormat="1" ht="33.75" customHeight="1">
      <c r="A234" s="52">
        <v>213</v>
      </c>
      <c r="B234" s="342"/>
      <c r="C234" s="343"/>
      <c r="D234" s="344"/>
      <c r="E234" s="45"/>
      <c r="F234" s="53"/>
      <c r="G234" s="53"/>
      <c r="H234" s="53"/>
      <c r="I234" s="53"/>
      <c r="J234" s="169"/>
      <c r="K234" s="162"/>
      <c r="L234" s="166">
        <f t="shared" si="21"/>
        <v>0</v>
      </c>
      <c r="M234" s="183" t="b">
        <v>0</v>
      </c>
      <c r="N234" s="478"/>
      <c r="O234" s="479"/>
      <c r="P234" s="479"/>
      <c r="Q234" s="480"/>
      <c r="R234" s="183" t="b">
        <v>0</v>
      </c>
      <c r="S234" s="53"/>
      <c r="T234" s="55"/>
      <c r="U234" s="56"/>
      <c r="V234" s="50">
        <f t="shared" si="19"/>
        <v>0</v>
      </c>
      <c r="Y234" s="51">
        <f t="shared" si="22"/>
        <v>0</v>
      </c>
      <c r="Z234" s="51">
        <f t="shared" si="23"/>
        <v>0</v>
      </c>
      <c r="AA234" s="51">
        <f t="shared" si="24"/>
        <v>0</v>
      </c>
      <c r="AB234" s="51" t="str">
        <f t="shared" si="25"/>
        <v/>
      </c>
      <c r="AC234" s="51" t="str">
        <f t="shared" si="25"/>
        <v/>
      </c>
    </row>
    <row r="235" spans="1:29" s="51" customFormat="1" ht="33.75" customHeight="1">
      <c r="A235" s="52">
        <v>214</v>
      </c>
      <c r="B235" s="342"/>
      <c r="C235" s="343"/>
      <c r="D235" s="344"/>
      <c r="E235" s="45"/>
      <c r="F235" s="53"/>
      <c r="G235" s="53"/>
      <c r="H235" s="53"/>
      <c r="I235" s="53"/>
      <c r="J235" s="169"/>
      <c r="K235" s="162"/>
      <c r="L235" s="166">
        <f t="shared" si="21"/>
        <v>0</v>
      </c>
      <c r="M235" s="183" t="b">
        <v>0</v>
      </c>
      <c r="N235" s="478"/>
      <c r="O235" s="479"/>
      <c r="P235" s="479"/>
      <c r="Q235" s="480"/>
      <c r="R235" s="183" t="b">
        <v>0</v>
      </c>
      <c r="S235" s="53"/>
      <c r="T235" s="55"/>
      <c r="U235" s="56"/>
      <c r="V235" s="50">
        <f t="shared" si="19"/>
        <v>0</v>
      </c>
      <c r="Y235" s="51">
        <f t="shared" si="22"/>
        <v>0</v>
      </c>
      <c r="Z235" s="51">
        <f t="shared" si="23"/>
        <v>0</v>
      </c>
      <c r="AA235" s="51">
        <f t="shared" si="24"/>
        <v>0</v>
      </c>
      <c r="AB235" s="51" t="str">
        <f t="shared" si="25"/>
        <v/>
      </c>
      <c r="AC235" s="51" t="str">
        <f t="shared" si="25"/>
        <v/>
      </c>
    </row>
    <row r="236" spans="1:29" s="51" customFormat="1" ht="33.75" customHeight="1">
      <c r="A236" s="52">
        <v>215</v>
      </c>
      <c r="B236" s="342"/>
      <c r="C236" s="343"/>
      <c r="D236" s="344"/>
      <c r="E236" s="45"/>
      <c r="F236" s="53"/>
      <c r="G236" s="53"/>
      <c r="H236" s="53"/>
      <c r="I236" s="53"/>
      <c r="J236" s="169"/>
      <c r="K236" s="162"/>
      <c r="L236" s="166">
        <f t="shared" si="21"/>
        <v>0</v>
      </c>
      <c r="M236" s="183" t="b">
        <v>0</v>
      </c>
      <c r="N236" s="478"/>
      <c r="O236" s="479"/>
      <c r="P236" s="479"/>
      <c r="Q236" s="480"/>
      <c r="R236" s="183" t="b">
        <v>0</v>
      </c>
      <c r="S236" s="53"/>
      <c r="T236" s="55"/>
      <c r="U236" s="56"/>
      <c r="V236" s="50">
        <f t="shared" si="19"/>
        <v>0</v>
      </c>
      <c r="Y236" s="51">
        <f t="shared" si="22"/>
        <v>0</v>
      </c>
      <c r="Z236" s="51">
        <f t="shared" si="23"/>
        <v>0</v>
      </c>
      <c r="AA236" s="51">
        <f t="shared" si="24"/>
        <v>0</v>
      </c>
      <c r="AB236" s="51" t="str">
        <f t="shared" si="25"/>
        <v/>
      </c>
      <c r="AC236" s="51" t="str">
        <f t="shared" si="25"/>
        <v/>
      </c>
    </row>
    <row r="237" spans="1:29" s="51" customFormat="1" ht="33.75" customHeight="1">
      <c r="A237" s="52">
        <v>216</v>
      </c>
      <c r="B237" s="342"/>
      <c r="C237" s="343"/>
      <c r="D237" s="344"/>
      <c r="E237" s="45"/>
      <c r="F237" s="53"/>
      <c r="G237" s="53"/>
      <c r="H237" s="53"/>
      <c r="I237" s="53"/>
      <c r="J237" s="169"/>
      <c r="K237" s="162"/>
      <c r="L237" s="166">
        <f t="shared" si="21"/>
        <v>0</v>
      </c>
      <c r="M237" s="183" t="b">
        <v>0</v>
      </c>
      <c r="N237" s="478"/>
      <c r="O237" s="479"/>
      <c r="P237" s="479"/>
      <c r="Q237" s="480"/>
      <c r="R237" s="183" t="b">
        <v>0</v>
      </c>
      <c r="S237" s="53"/>
      <c r="T237" s="55"/>
      <c r="U237" s="56"/>
      <c r="V237" s="50">
        <f t="shared" si="19"/>
        <v>0</v>
      </c>
      <c r="Y237" s="51">
        <f t="shared" si="22"/>
        <v>0</v>
      </c>
      <c r="Z237" s="51">
        <f t="shared" si="23"/>
        <v>0</v>
      </c>
      <c r="AA237" s="51">
        <f t="shared" si="24"/>
        <v>0</v>
      </c>
      <c r="AB237" s="51" t="str">
        <f t="shared" si="25"/>
        <v/>
      </c>
      <c r="AC237" s="51" t="str">
        <f t="shared" si="25"/>
        <v/>
      </c>
    </row>
    <row r="238" spans="1:29" s="51" customFormat="1" ht="33.75" customHeight="1">
      <c r="A238" s="52">
        <v>217</v>
      </c>
      <c r="B238" s="342"/>
      <c r="C238" s="343"/>
      <c r="D238" s="344"/>
      <c r="E238" s="45"/>
      <c r="F238" s="53"/>
      <c r="G238" s="53"/>
      <c r="H238" s="53"/>
      <c r="I238" s="53"/>
      <c r="J238" s="169"/>
      <c r="K238" s="162"/>
      <c r="L238" s="166">
        <f t="shared" si="21"/>
        <v>0</v>
      </c>
      <c r="M238" s="183" t="b">
        <v>0</v>
      </c>
      <c r="N238" s="478"/>
      <c r="O238" s="479"/>
      <c r="P238" s="479"/>
      <c r="Q238" s="480"/>
      <c r="R238" s="183" t="b">
        <v>0</v>
      </c>
      <c r="S238" s="53"/>
      <c r="T238" s="55"/>
      <c r="U238" s="56"/>
      <c r="V238" s="50">
        <f t="shared" si="19"/>
        <v>0</v>
      </c>
      <c r="Y238" s="51">
        <f t="shared" si="22"/>
        <v>0</v>
      </c>
      <c r="Z238" s="51">
        <f t="shared" si="23"/>
        <v>0</v>
      </c>
      <c r="AA238" s="51">
        <f t="shared" si="24"/>
        <v>0</v>
      </c>
      <c r="AB238" s="51" t="str">
        <f t="shared" si="25"/>
        <v/>
      </c>
      <c r="AC238" s="51" t="str">
        <f t="shared" si="25"/>
        <v/>
      </c>
    </row>
    <row r="239" spans="1:29" s="51" customFormat="1" ht="33.75" customHeight="1">
      <c r="A239" s="52">
        <v>218</v>
      </c>
      <c r="B239" s="342"/>
      <c r="C239" s="343"/>
      <c r="D239" s="344"/>
      <c r="E239" s="45"/>
      <c r="F239" s="53"/>
      <c r="G239" s="53"/>
      <c r="H239" s="53"/>
      <c r="I239" s="53"/>
      <c r="J239" s="169"/>
      <c r="K239" s="162"/>
      <c r="L239" s="166">
        <f t="shared" si="21"/>
        <v>0</v>
      </c>
      <c r="M239" s="183" t="b">
        <v>0</v>
      </c>
      <c r="N239" s="478"/>
      <c r="O239" s="479"/>
      <c r="P239" s="479"/>
      <c r="Q239" s="480"/>
      <c r="R239" s="183" t="b">
        <v>0</v>
      </c>
      <c r="S239" s="53"/>
      <c r="T239" s="55"/>
      <c r="U239" s="56"/>
      <c r="V239" s="50">
        <f t="shared" si="19"/>
        <v>0</v>
      </c>
      <c r="Y239" s="51">
        <f t="shared" si="22"/>
        <v>0</v>
      </c>
      <c r="Z239" s="51">
        <f t="shared" si="23"/>
        <v>0</v>
      </c>
      <c r="AA239" s="51">
        <f t="shared" si="24"/>
        <v>0</v>
      </c>
      <c r="AB239" s="51" t="str">
        <f t="shared" si="25"/>
        <v/>
      </c>
      <c r="AC239" s="51" t="str">
        <f t="shared" si="25"/>
        <v/>
      </c>
    </row>
    <row r="240" spans="1:29" s="51" customFormat="1" ht="33.75" customHeight="1">
      <c r="A240" s="52">
        <v>219</v>
      </c>
      <c r="B240" s="342"/>
      <c r="C240" s="343"/>
      <c r="D240" s="344"/>
      <c r="E240" s="45"/>
      <c r="F240" s="53"/>
      <c r="G240" s="53"/>
      <c r="H240" s="53"/>
      <c r="I240" s="53"/>
      <c r="J240" s="169"/>
      <c r="K240" s="162"/>
      <c r="L240" s="166">
        <f t="shared" si="21"/>
        <v>0</v>
      </c>
      <c r="M240" s="183" t="b">
        <v>0</v>
      </c>
      <c r="N240" s="478"/>
      <c r="O240" s="479"/>
      <c r="P240" s="479"/>
      <c r="Q240" s="480"/>
      <c r="R240" s="183" t="b">
        <v>0</v>
      </c>
      <c r="S240" s="53"/>
      <c r="T240" s="55"/>
      <c r="U240" s="56"/>
      <c r="V240" s="50">
        <f t="shared" si="19"/>
        <v>0</v>
      </c>
      <c r="Y240" s="51">
        <f t="shared" si="22"/>
        <v>0</v>
      </c>
      <c r="Z240" s="51">
        <f t="shared" si="23"/>
        <v>0</v>
      </c>
      <c r="AA240" s="51">
        <f t="shared" si="24"/>
        <v>0</v>
      </c>
      <c r="AB240" s="51" t="str">
        <f t="shared" si="25"/>
        <v/>
      </c>
      <c r="AC240" s="51" t="str">
        <f t="shared" si="25"/>
        <v/>
      </c>
    </row>
    <row r="241" spans="1:29" s="51" customFormat="1" ht="33.75" customHeight="1">
      <c r="A241" s="52">
        <v>220</v>
      </c>
      <c r="B241" s="342"/>
      <c r="C241" s="343"/>
      <c r="D241" s="344"/>
      <c r="E241" s="45"/>
      <c r="F241" s="53"/>
      <c r="G241" s="53"/>
      <c r="H241" s="53"/>
      <c r="I241" s="53"/>
      <c r="J241" s="169"/>
      <c r="K241" s="162"/>
      <c r="L241" s="166">
        <f t="shared" si="21"/>
        <v>0</v>
      </c>
      <c r="M241" s="183" t="b">
        <v>0</v>
      </c>
      <c r="N241" s="478"/>
      <c r="O241" s="479"/>
      <c r="P241" s="479"/>
      <c r="Q241" s="480"/>
      <c r="R241" s="183" t="b">
        <v>0</v>
      </c>
      <c r="S241" s="53"/>
      <c r="T241" s="55"/>
      <c r="U241" s="56"/>
      <c r="V241" s="50">
        <f t="shared" si="19"/>
        <v>0</v>
      </c>
      <c r="Y241" s="51">
        <f t="shared" si="22"/>
        <v>0</v>
      </c>
      <c r="Z241" s="51">
        <f t="shared" si="23"/>
        <v>0</v>
      </c>
      <c r="AA241" s="51">
        <f t="shared" si="24"/>
        <v>0</v>
      </c>
      <c r="AB241" s="51" t="str">
        <f t="shared" si="25"/>
        <v/>
      </c>
      <c r="AC241" s="51" t="str">
        <f t="shared" si="25"/>
        <v/>
      </c>
    </row>
    <row r="242" spans="1:29" s="51" customFormat="1" ht="33.75" customHeight="1">
      <c r="A242" s="52">
        <v>221</v>
      </c>
      <c r="B242" s="342"/>
      <c r="C242" s="343"/>
      <c r="D242" s="344"/>
      <c r="E242" s="45"/>
      <c r="F242" s="53"/>
      <c r="G242" s="53"/>
      <c r="H242" s="53"/>
      <c r="I242" s="53"/>
      <c r="J242" s="169"/>
      <c r="K242" s="162"/>
      <c r="L242" s="166">
        <f t="shared" si="21"/>
        <v>0</v>
      </c>
      <c r="M242" s="183" t="b">
        <v>0</v>
      </c>
      <c r="N242" s="478"/>
      <c r="O242" s="479"/>
      <c r="P242" s="479"/>
      <c r="Q242" s="480"/>
      <c r="R242" s="183" t="b">
        <v>0</v>
      </c>
      <c r="S242" s="53"/>
      <c r="T242" s="55"/>
      <c r="U242" s="56"/>
      <c r="V242" s="50">
        <f t="shared" si="19"/>
        <v>0</v>
      </c>
      <c r="Y242" s="51">
        <f t="shared" si="22"/>
        <v>0</v>
      </c>
      <c r="Z242" s="51">
        <f t="shared" si="23"/>
        <v>0</v>
      </c>
      <c r="AA242" s="51">
        <f t="shared" si="24"/>
        <v>0</v>
      </c>
      <c r="AB242" s="51" t="str">
        <f t="shared" si="25"/>
        <v/>
      </c>
      <c r="AC242" s="51" t="str">
        <f t="shared" si="25"/>
        <v/>
      </c>
    </row>
    <row r="243" spans="1:29" s="51" customFormat="1" ht="33.75" customHeight="1">
      <c r="A243" s="52">
        <v>222</v>
      </c>
      <c r="B243" s="342"/>
      <c r="C243" s="343"/>
      <c r="D243" s="344"/>
      <c r="E243" s="45"/>
      <c r="F243" s="53"/>
      <c r="G243" s="53"/>
      <c r="H243" s="53"/>
      <c r="I243" s="53"/>
      <c r="J243" s="169"/>
      <c r="K243" s="162"/>
      <c r="L243" s="166">
        <f t="shared" si="21"/>
        <v>0</v>
      </c>
      <c r="M243" s="183" t="b">
        <v>0</v>
      </c>
      <c r="N243" s="478"/>
      <c r="O243" s="479"/>
      <c r="P243" s="479"/>
      <c r="Q243" s="480"/>
      <c r="R243" s="183" t="b">
        <v>0</v>
      </c>
      <c r="S243" s="53"/>
      <c r="T243" s="55"/>
      <c r="U243" s="56"/>
      <c r="V243" s="50">
        <f t="shared" si="19"/>
        <v>0</v>
      </c>
      <c r="Y243" s="51">
        <f t="shared" si="22"/>
        <v>0</v>
      </c>
      <c r="Z243" s="51">
        <f t="shared" si="23"/>
        <v>0</v>
      </c>
      <c r="AA243" s="51">
        <f t="shared" si="24"/>
        <v>0</v>
      </c>
      <c r="AB243" s="51" t="str">
        <f t="shared" si="25"/>
        <v/>
      </c>
      <c r="AC243" s="51" t="str">
        <f t="shared" si="25"/>
        <v/>
      </c>
    </row>
    <row r="244" spans="1:29" s="51" customFormat="1" ht="33.75" customHeight="1">
      <c r="A244" s="52">
        <v>223</v>
      </c>
      <c r="B244" s="342"/>
      <c r="C244" s="343"/>
      <c r="D244" s="344"/>
      <c r="E244" s="45"/>
      <c r="F244" s="53"/>
      <c r="G244" s="53"/>
      <c r="H244" s="53"/>
      <c r="I244" s="53"/>
      <c r="J244" s="169"/>
      <c r="K244" s="162"/>
      <c r="L244" s="166">
        <f t="shared" si="21"/>
        <v>0</v>
      </c>
      <c r="M244" s="183" t="b">
        <v>0</v>
      </c>
      <c r="N244" s="478"/>
      <c r="O244" s="479"/>
      <c r="P244" s="479"/>
      <c r="Q244" s="480"/>
      <c r="R244" s="183" t="b">
        <v>0</v>
      </c>
      <c r="S244" s="53"/>
      <c r="T244" s="55"/>
      <c r="U244" s="56"/>
      <c r="V244" s="50">
        <f t="shared" si="19"/>
        <v>0</v>
      </c>
      <c r="Y244" s="51">
        <f t="shared" si="22"/>
        <v>0</v>
      </c>
      <c r="Z244" s="51">
        <f t="shared" si="23"/>
        <v>0</v>
      </c>
      <c r="AA244" s="51">
        <f t="shared" si="24"/>
        <v>0</v>
      </c>
      <c r="AB244" s="51" t="str">
        <f t="shared" si="25"/>
        <v/>
      </c>
      <c r="AC244" s="51" t="str">
        <f t="shared" si="25"/>
        <v/>
      </c>
    </row>
    <row r="245" spans="1:29" s="51" customFormat="1" ht="33.75" customHeight="1">
      <c r="A245" s="52">
        <v>224</v>
      </c>
      <c r="B245" s="342"/>
      <c r="C245" s="343"/>
      <c r="D245" s="344"/>
      <c r="E245" s="45"/>
      <c r="F245" s="53"/>
      <c r="G245" s="53"/>
      <c r="H245" s="53"/>
      <c r="I245" s="53"/>
      <c r="J245" s="169"/>
      <c r="K245" s="162"/>
      <c r="L245" s="166">
        <f t="shared" si="21"/>
        <v>0</v>
      </c>
      <c r="M245" s="183" t="b">
        <v>0</v>
      </c>
      <c r="N245" s="478"/>
      <c r="O245" s="479"/>
      <c r="P245" s="479"/>
      <c r="Q245" s="480"/>
      <c r="R245" s="183" t="b">
        <v>0</v>
      </c>
      <c r="S245" s="53"/>
      <c r="T245" s="55"/>
      <c r="U245" s="56"/>
      <c r="V245" s="50">
        <f t="shared" si="19"/>
        <v>0</v>
      </c>
      <c r="Y245" s="51">
        <f t="shared" si="22"/>
        <v>0</v>
      </c>
      <c r="Z245" s="51">
        <f t="shared" si="23"/>
        <v>0</v>
      </c>
      <c r="AA245" s="51">
        <f t="shared" si="24"/>
        <v>0</v>
      </c>
      <c r="AB245" s="51" t="str">
        <f t="shared" si="25"/>
        <v/>
      </c>
      <c r="AC245" s="51" t="str">
        <f t="shared" si="25"/>
        <v/>
      </c>
    </row>
    <row r="246" spans="1:29" s="51" customFormat="1" ht="33.75" customHeight="1">
      <c r="A246" s="52">
        <v>225</v>
      </c>
      <c r="B246" s="342"/>
      <c r="C246" s="343"/>
      <c r="D246" s="344"/>
      <c r="E246" s="45"/>
      <c r="F246" s="53"/>
      <c r="G246" s="53"/>
      <c r="H246" s="53"/>
      <c r="I246" s="53"/>
      <c r="J246" s="169"/>
      <c r="K246" s="162"/>
      <c r="L246" s="166">
        <f t="shared" si="21"/>
        <v>0</v>
      </c>
      <c r="M246" s="183" t="b">
        <v>0</v>
      </c>
      <c r="N246" s="478"/>
      <c r="O246" s="479"/>
      <c r="P246" s="479"/>
      <c r="Q246" s="480"/>
      <c r="R246" s="183" t="b">
        <v>0</v>
      </c>
      <c r="S246" s="53"/>
      <c r="T246" s="55"/>
      <c r="U246" s="56"/>
      <c r="V246" s="50">
        <f t="shared" si="19"/>
        <v>0</v>
      </c>
      <c r="Y246" s="51">
        <f t="shared" si="22"/>
        <v>0</v>
      </c>
      <c r="Z246" s="51">
        <f t="shared" si="23"/>
        <v>0</v>
      </c>
      <c r="AA246" s="51">
        <f t="shared" si="24"/>
        <v>0</v>
      </c>
      <c r="AB246" s="51" t="str">
        <f t="shared" si="25"/>
        <v/>
      </c>
      <c r="AC246" s="51" t="str">
        <f t="shared" si="25"/>
        <v/>
      </c>
    </row>
    <row r="247" spans="1:29" s="51" customFormat="1" ht="33.75" customHeight="1">
      <c r="A247" s="52">
        <v>226</v>
      </c>
      <c r="B247" s="342"/>
      <c r="C247" s="343"/>
      <c r="D247" s="344"/>
      <c r="E247" s="45"/>
      <c r="F247" s="53"/>
      <c r="G247" s="53"/>
      <c r="H247" s="53"/>
      <c r="I247" s="53"/>
      <c r="J247" s="169"/>
      <c r="K247" s="162"/>
      <c r="L247" s="166">
        <f t="shared" si="21"/>
        <v>0</v>
      </c>
      <c r="M247" s="183" t="b">
        <v>0</v>
      </c>
      <c r="N247" s="478"/>
      <c r="O247" s="479"/>
      <c r="P247" s="479"/>
      <c r="Q247" s="480"/>
      <c r="R247" s="183" t="b">
        <v>0</v>
      </c>
      <c r="S247" s="53"/>
      <c r="T247" s="55"/>
      <c r="U247" s="56"/>
      <c r="V247" s="50">
        <f t="shared" si="19"/>
        <v>0</v>
      </c>
      <c r="Y247" s="51">
        <f t="shared" si="22"/>
        <v>0</v>
      </c>
      <c r="Z247" s="51">
        <f t="shared" si="23"/>
        <v>0</v>
      </c>
      <c r="AA247" s="51">
        <f t="shared" si="24"/>
        <v>0</v>
      </c>
      <c r="AB247" s="51" t="str">
        <f t="shared" si="25"/>
        <v/>
      </c>
      <c r="AC247" s="51" t="str">
        <f t="shared" si="25"/>
        <v/>
      </c>
    </row>
    <row r="248" spans="1:29" s="51" customFormat="1" ht="33.75" customHeight="1">
      <c r="A248" s="52">
        <v>227</v>
      </c>
      <c r="B248" s="342"/>
      <c r="C248" s="343"/>
      <c r="D248" s="344"/>
      <c r="E248" s="45"/>
      <c r="F248" s="53"/>
      <c r="G248" s="53"/>
      <c r="H248" s="53"/>
      <c r="I248" s="53"/>
      <c r="J248" s="169"/>
      <c r="K248" s="162"/>
      <c r="L248" s="166">
        <f t="shared" si="21"/>
        <v>0</v>
      </c>
      <c r="M248" s="183" t="b">
        <v>0</v>
      </c>
      <c r="N248" s="478"/>
      <c r="O248" s="479"/>
      <c r="P248" s="479"/>
      <c r="Q248" s="480"/>
      <c r="R248" s="183" t="b">
        <v>0</v>
      </c>
      <c r="S248" s="53"/>
      <c r="T248" s="55"/>
      <c r="U248" s="56"/>
      <c r="V248" s="50">
        <f t="shared" si="19"/>
        <v>0</v>
      </c>
      <c r="Y248" s="51">
        <f t="shared" si="22"/>
        <v>0</v>
      </c>
      <c r="Z248" s="51">
        <f t="shared" si="23"/>
        <v>0</v>
      </c>
      <c r="AA248" s="51">
        <f t="shared" si="24"/>
        <v>0</v>
      </c>
      <c r="AB248" s="51" t="str">
        <f t="shared" si="25"/>
        <v/>
      </c>
      <c r="AC248" s="51" t="str">
        <f t="shared" si="25"/>
        <v/>
      </c>
    </row>
    <row r="249" spans="1:29" s="51" customFormat="1" ht="33.75" customHeight="1">
      <c r="A249" s="52">
        <v>228</v>
      </c>
      <c r="B249" s="342"/>
      <c r="C249" s="343"/>
      <c r="D249" s="344"/>
      <c r="E249" s="45"/>
      <c r="F249" s="53"/>
      <c r="G249" s="53"/>
      <c r="H249" s="53"/>
      <c r="I249" s="53"/>
      <c r="J249" s="169"/>
      <c r="K249" s="162"/>
      <c r="L249" s="166">
        <f t="shared" si="21"/>
        <v>0</v>
      </c>
      <c r="M249" s="183" t="b">
        <v>0</v>
      </c>
      <c r="N249" s="478"/>
      <c r="O249" s="479"/>
      <c r="P249" s="479"/>
      <c r="Q249" s="480"/>
      <c r="R249" s="183" t="b">
        <v>0</v>
      </c>
      <c r="S249" s="53"/>
      <c r="T249" s="55"/>
      <c r="U249" s="56"/>
      <c r="V249" s="50">
        <f t="shared" si="19"/>
        <v>0</v>
      </c>
      <c r="Y249" s="51">
        <f t="shared" si="22"/>
        <v>0</v>
      </c>
      <c r="Z249" s="51">
        <f t="shared" si="23"/>
        <v>0</v>
      </c>
      <c r="AA249" s="51">
        <f t="shared" si="24"/>
        <v>0</v>
      </c>
      <c r="AB249" s="51" t="str">
        <f t="shared" si="25"/>
        <v/>
      </c>
      <c r="AC249" s="51" t="str">
        <f t="shared" si="25"/>
        <v/>
      </c>
    </row>
    <row r="250" spans="1:29" s="51" customFormat="1" ht="33.75" customHeight="1">
      <c r="A250" s="52">
        <v>229</v>
      </c>
      <c r="B250" s="342"/>
      <c r="C250" s="343"/>
      <c r="D250" s="344"/>
      <c r="E250" s="45"/>
      <c r="F250" s="53"/>
      <c r="G250" s="53"/>
      <c r="H250" s="53"/>
      <c r="I250" s="53"/>
      <c r="J250" s="169"/>
      <c r="K250" s="162"/>
      <c r="L250" s="166">
        <f t="shared" si="21"/>
        <v>0</v>
      </c>
      <c r="M250" s="183" t="b">
        <v>0</v>
      </c>
      <c r="N250" s="478"/>
      <c r="O250" s="479"/>
      <c r="P250" s="479"/>
      <c r="Q250" s="480"/>
      <c r="R250" s="183" t="b">
        <v>0</v>
      </c>
      <c r="S250" s="53"/>
      <c r="T250" s="55"/>
      <c r="U250" s="56"/>
      <c r="V250" s="50">
        <f t="shared" si="19"/>
        <v>0</v>
      </c>
      <c r="Y250" s="51">
        <f t="shared" si="22"/>
        <v>0</v>
      </c>
      <c r="Z250" s="51">
        <f t="shared" si="23"/>
        <v>0</v>
      </c>
      <c r="AA250" s="51">
        <f t="shared" si="24"/>
        <v>0</v>
      </c>
      <c r="AB250" s="51" t="str">
        <f t="shared" si="25"/>
        <v/>
      </c>
      <c r="AC250" s="51" t="str">
        <f t="shared" si="25"/>
        <v/>
      </c>
    </row>
    <row r="251" spans="1:29" s="51" customFormat="1" ht="33.75" customHeight="1">
      <c r="A251" s="52">
        <v>230</v>
      </c>
      <c r="B251" s="342"/>
      <c r="C251" s="343"/>
      <c r="D251" s="344"/>
      <c r="E251" s="45"/>
      <c r="F251" s="53"/>
      <c r="G251" s="53"/>
      <c r="H251" s="53"/>
      <c r="I251" s="53"/>
      <c r="J251" s="169"/>
      <c r="K251" s="162"/>
      <c r="L251" s="166">
        <f t="shared" si="21"/>
        <v>0</v>
      </c>
      <c r="M251" s="183" t="b">
        <v>0</v>
      </c>
      <c r="N251" s="478"/>
      <c r="O251" s="479"/>
      <c r="P251" s="479"/>
      <c r="Q251" s="480"/>
      <c r="R251" s="183" t="b">
        <v>0</v>
      </c>
      <c r="S251" s="53"/>
      <c r="T251" s="55"/>
      <c r="U251" s="56"/>
      <c r="V251" s="50">
        <f t="shared" si="19"/>
        <v>0</v>
      </c>
      <c r="Y251" s="51">
        <f t="shared" si="22"/>
        <v>0</v>
      </c>
      <c r="Z251" s="51">
        <f t="shared" si="23"/>
        <v>0</v>
      </c>
      <c r="AA251" s="51">
        <f t="shared" si="24"/>
        <v>0</v>
      </c>
      <c r="AB251" s="51" t="str">
        <f t="shared" si="25"/>
        <v/>
      </c>
      <c r="AC251" s="51" t="str">
        <f t="shared" si="25"/>
        <v/>
      </c>
    </row>
    <row r="252" spans="1:29" s="51" customFormat="1" ht="33.75" customHeight="1">
      <c r="A252" s="52">
        <v>231</v>
      </c>
      <c r="B252" s="342"/>
      <c r="C252" s="343"/>
      <c r="D252" s="344"/>
      <c r="E252" s="45"/>
      <c r="F252" s="53"/>
      <c r="G252" s="53"/>
      <c r="H252" s="53"/>
      <c r="I252" s="53"/>
      <c r="J252" s="169"/>
      <c r="K252" s="162"/>
      <c r="L252" s="166">
        <f t="shared" si="21"/>
        <v>0</v>
      </c>
      <c r="M252" s="183" t="b">
        <v>0</v>
      </c>
      <c r="N252" s="478"/>
      <c r="O252" s="479"/>
      <c r="P252" s="479"/>
      <c r="Q252" s="480"/>
      <c r="R252" s="183" t="b">
        <v>0</v>
      </c>
      <c r="S252" s="53"/>
      <c r="T252" s="55"/>
      <c r="U252" s="56"/>
      <c r="V252" s="50">
        <f t="shared" si="19"/>
        <v>0</v>
      </c>
      <c r="Y252" s="51">
        <f t="shared" si="22"/>
        <v>0</v>
      </c>
      <c r="Z252" s="51">
        <f t="shared" si="23"/>
        <v>0</v>
      </c>
      <c r="AA252" s="51">
        <f t="shared" si="24"/>
        <v>0</v>
      </c>
      <c r="AB252" s="51" t="str">
        <f t="shared" si="25"/>
        <v/>
      </c>
      <c r="AC252" s="51" t="str">
        <f t="shared" si="25"/>
        <v/>
      </c>
    </row>
    <row r="253" spans="1:29" s="51" customFormat="1" ht="33.75" customHeight="1">
      <c r="A253" s="52">
        <v>232</v>
      </c>
      <c r="B253" s="342"/>
      <c r="C253" s="343"/>
      <c r="D253" s="344"/>
      <c r="E253" s="45"/>
      <c r="F253" s="53"/>
      <c r="G253" s="53"/>
      <c r="H253" s="53"/>
      <c r="I253" s="53"/>
      <c r="J253" s="169"/>
      <c r="K253" s="162"/>
      <c r="L253" s="166">
        <f t="shared" si="21"/>
        <v>0</v>
      </c>
      <c r="M253" s="183" t="b">
        <v>0</v>
      </c>
      <c r="N253" s="478"/>
      <c r="O253" s="479"/>
      <c r="P253" s="479"/>
      <c r="Q253" s="480"/>
      <c r="R253" s="183" t="b">
        <v>0</v>
      </c>
      <c r="S253" s="53"/>
      <c r="T253" s="55"/>
      <c r="U253" s="56"/>
      <c r="V253" s="50">
        <f t="shared" si="19"/>
        <v>0</v>
      </c>
      <c r="Y253" s="51">
        <f t="shared" si="22"/>
        <v>0</v>
      </c>
      <c r="Z253" s="51">
        <f t="shared" si="23"/>
        <v>0</v>
      </c>
      <c r="AA253" s="51">
        <f t="shared" si="24"/>
        <v>0</v>
      </c>
      <c r="AB253" s="51" t="str">
        <f t="shared" si="25"/>
        <v/>
      </c>
      <c r="AC253" s="51" t="str">
        <f t="shared" si="25"/>
        <v/>
      </c>
    </row>
    <row r="254" spans="1:29" s="51" customFormat="1" ht="33.75" customHeight="1">
      <c r="A254" s="52">
        <v>233</v>
      </c>
      <c r="B254" s="342"/>
      <c r="C254" s="343"/>
      <c r="D254" s="344"/>
      <c r="E254" s="45"/>
      <c r="F254" s="53"/>
      <c r="G254" s="53"/>
      <c r="H254" s="53"/>
      <c r="I254" s="53"/>
      <c r="J254" s="169"/>
      <c r="K254" s="162"/>
      <c r="L254" s="166">
        <f t="shared" si="21"/>
        <v>0</v>
      </c>
      <c r="M254" s="183" t="b">
        <v>0</v>
      </c>
      <c r="N254" s="478"/>
      <c r="O254" s="479"/>
      <c r="P254" s="479"/>
      <c r="Q254" s="480"/>
      <c r="R254" s="183" t="b">
        <v>0</v>
      </c>
      <c r="S254" s="53"/>
      <c r="T254" s="55"/>
      <c r="U254" s="56"/>
      <c r="V254" s="50">
        <f t="shared" si="19"/>
        <v>0</v>
      </c>
      <c r="Y254" s="51">
        <f t="shared" si="22"/>
        <v>0</v>
      </c>
      <c r="Z254" s="51">
        <f t="shared" si="23"/>
        <v>0</v>
      </c>
      <c r="AA254" s="51">
        <f t="shared" si="24"/>
        <v>0</v>
      </c>
      <c r="AB254" s="51" t="str">
        <f t="shared" si="25"/>
        <v/>
      </c>
      <c r="AC254" s="51" t="str">
        <f t="shared" si="25"/>
        <v/>
      </c>
    </row>
    <row r="255" spans="1:29" s="51" customFormat="1" ht="33.75" customHeight="1">
      <c r="A255" s="52">
        <v>234</v>
      </c>
      <c r="B255" s="342"/>
      <c r="C255" s="343"/>
      <c r="D255" s="344"/>
      <c r="E255" s="45"/>
      <c r="F255" s="53"/>
      <c r="G255" s="53"/>
      <c r="H255" s="53"/>
      <c r="I255" s="53"/>
      <c r="J255" s="169"/>
      <c r="K255" s="162"/>
      <c r="L255" s="166">
        <f t="shared" si="21"/>
        <v>0</v>
      </c>
      <c r="M255" s="183" t="b">
        <v>0</v>
      </c>
      <c r="N255" s="478"/>
      <c r="O255" s="479"/>
      <c r="P255" s="479"/>
      <c r="Q255" s="480"/>
      <c r="R255" s="183" t="b">
        <v>0</v>
      </c>
      <c r="S255" s="53"/>
      <c r="T255" s="55"/>
      <c r="U255" s="56"/>
      <c r="V255" s="50">
        <f t="shared" si="19"/>
        <v>0</v>
      </c>
      <c r="Y255" s="51">
        <f t="shared" si="22"/>
        <v>0</v>
      </c>
      <c r="Z255" s="51">
        <f t="shared" si="23"/>
        <v>0</v>
      </c>
      <c r="AA255" s="51">
        <f t="shared" si="24"/>
        <v>0</v>
      </c>
      <c r="AB255" s="51" t="str">
        <f t="shared" si="25"/>
        <v/>
      </c>
      <c r="AC255" s="51" t="str">
        <f t="shared" si="25"/>
        <v/>
      </c>
    </row>
    <row r="256" spans="1:29" s="51" customFormat="1" ht="33.75" customHeight="1">
      <c r="A256" s="52">
        <v>235</v>
      </c>
      <c r="B256" s="342"/>
      <c r="C256" s="343"/>
      <c r="D256" s="344"/>
      <c r="E256" s="45"/>
      <c r="F256" s="53"/>
      <c r="G256" s="53"/>
      <c r="H256" s="53"/>
      <c r="I256" s="53"/>
      <c r="J256" s="169"/>
      <c r="K256" s="162"/>
      <c r="L256" s="166">
        <f t="shared" si="21"/>
        <v>0</v>
      </c>
      <c r="M256" s="183" t="b">
        <v>0</v>
      </c>
      <c r="N256" s="478"/>
      <c r="O256" s="479"/>
      <c r="P256" s="479"/>
      <c r="Q256" s="480"/>
      <c r="R256" s="183" t="b">
        <v>0</v>
      </c>
      <c r="S256" s="53"/>
      <c r="T256" s="55"/>
      <c r="U256" s="56"/>
      <c r="V256" s="50">
        <f t="shared" si="19"/>
        <v>0</v>
      </c>
      <c r="Y256" s="51">
        <f t="shared" si="22"/>
        <v>0</v>
      </c>
      <c r="Z256" s="51">
        <f t="shared" si="23"/>
        <v>0</v>
      </c>
      <c r="AA256" s="51">
        <f t="shared" si="24"/>
        <v>0</v>
      </c>
      <c r="AB256" s="51" t="str">
        <f t="shared" si="25"/>
        <v/>
      </c>
      <c r="AC256" s="51" t="str">
        <f t="shared" si="25"/>
        <v/>
      </c>
    </row>
    <row r="257" spans="1:29" s="51" customFormat="1" ht="33.75" customHeight="1">
      <c r="A257" s="52">
        <v>236</v>
      </c>
      <c r="B257" s="342"/>
      <c r="C257" s="343"/>
      <c r="D257" s="344"/>
      <c r="E257" s="45"/>
      <c r="F257" s="53"/>
      <c r="G257" s="53"/>
      <c r="H257" s="53"/>
      <c r="I257" s="53"/>
      <c r="J257" s="169"/>
      <c r="K257" s="162"/>
      <c r="L257" s="166">
        <f t="shared" si="21"/>
        <v>0</v>
      </c>
      <c r="M257" s="183" t="b">
        <v>0</v>
      </c>
      <c r="N257" s="478"/>
      <c r="O257" s="479"/>
      <c r="P257" s="479"/>
      <c r="Q257" s="480"/>
      <c r="R257" s="183" t="b">
        <v>0</v>
      </c>
      <c r="S257" s="53"/>
      <c r="T257" s="55"/>
      <c r="U257" s="56"/>
      <c r="V257" s="50">
        <f t="shared" si="19"/>
        <v>0</v>
      </c>
      <c r="Y257" s="51">
        <f t="shared" si="22"/>
        <v>0</v>
      </c>
      <c r="Z257" s="51">
        <f t="shared" si="23"/>
        <v>0</v>
      </c>
      <c r="AA257" s="51">
        <f t="shared" si="24"/>
        <v>0</v>
      </c>
      <c r="AB257" s="51" t="str">
        <f t="shared" si="25"/>
        <v/>
      </c>
      <c r="AC257" s="51" t="str">
        <f t="shared" si="25"/>
        <v/>
      </c>
    </row>
    <row r="258" spans="1:29" s="51" customFormat="1" ht="33.75" customHeight="1">
      <c r="A258" s="52">
        <v>237</v>
      </c>
      <c r="B258" s="342"/>
      <c r="C258" s="343"/>
      <c r="D258" s="344"/>
      <c r="E258" s="45"/>
      <c r="F258" s="53"/>
      <c r="G258" s="53"/>
      <c r="H258" s="53"/>
      <c r="I258" s="53"/>
      <c r="J258" s="169"/>
      <c r="K258" s="162"/>
      <c r="L258" s="166">
        <f t="shared" si="21"/>
        <v>0</v>
      </c>
      <c r="M258" s="183" t="b">
        <v>0</v>
      </c>
      <c r="N258" s="478"/>
      <c r="O258" s="479"/>
      <c r="P258" s="479"/>
      <c r="Q258" s="480"/>
      <c r="R258" s="183" t="b">
        <v>0</v>
      </c>
      <c r="S258" s="53"/>
      <c r="T258" s="55"/>
      <c r="U258" s="56"/>
      <c r="V258" s="50">
        <f t="shared" si="19"/>
        <v>0</v>
      </c>
      <c r="Y258" s="51">
        <f t="shared" si="22"/>
        <v>0</v>
      </c>
      <c r="Z258" s="51">
        <f t="shared" si="23"/>
        <v>0</v>
      </c>
      <c r="AA258" s="51">
        <f t="shared" si="24"/>
        <v>0</v>
      </c>
      <c r="AB258" s="51" t="str">
        <f t="shared" si="25"/>
        <v/>
      </c>
      <c r="AC258" s="51" t="str">
        <f t="shared" si="25"/>
        <v/>
      </c>
    </row>
    <row r="259" spans="1:29" s="51" customFormat="1" ht="33.75" customHeight="1">
      <c r="A259" s="52">
        <v>238</v>
      </c>
      <c r="B259" s="342"/>
      <c r="C259" s="343"/>
      <c r="D259" s="344"/>
      <c r="E259" s="45"/>
      <c r="F259" s="53"/>
      <c r="G259" s="53"/>
      <c r="H259" s="53"/>
      <c r="I259" s="53"/>
      <c r="J259" s="169"/>
      <c r="K259" s="162"/>
      <c r="L259" s="166">
        <f t="shared" si="21"/>
        <v>0</v>
      </c>
      <c r="M259" s="183" t="b">
        <v>0</v>
      </c>
      <c r="N259" s="478"/>
      <c r="O259" s="479"/>
      <c r="P259" s="479"/>
      <c r="Q259" s="480"/>
      <c r="R259" s="183" t="b">
        <v>0</v>
      </c>
      <c r="S259" s="53"/>
      <c r="T259" s="55"/>
      <c r="U259" s="56"/>
      <c r="V259" s="50">
        <f t="shared" si="19"/>
        <v>0</v>
      </c>
      <c r="Y259" s="51">
        <f t="shared" si="22"/>
        <v>0</v>
      </c>
      <c r="Z259" s="51">
        <f t="shared" si="23"/>
        <v>0</v>
      </c>
      <c r="AA259" s="51">
        <f t="shared" si="24"/>
        <v>0</v>
      </c>
      <c r="AB259" s="51" t="str">
        <f t="shared" si="25"/>
        <v/>
      </c>
      <c r="AC259" s="51" t="str">
        <f t="shared" si="25"/>
        <v/>
      </c>
    </row>
    <row r="260" spans="1:29" s="51" customFormat="1" ht="33.75" customHeight="1">
      <c r="A260" s="52">
        <v>239</v>
      </c>
      <c r="B260" s="342"/>
      <c r="C260" s="343"/>
      <c r="D260" s="344"/>
      <c r="E260" s="45"/>
      <c r="F260" s="53"/>
      <c r="G260" s="53"/>
      <c r="H260" s="53"/>
      <c r="I260" s="53"/>
      <c r="J260" s="169"/>
      <c r="K260" s="162"/>
      <c r="L260" s="166">
        <f t="shared" si="21"/>
        <v>0</v>
      </c>
      <c r="M260" s="183" t="b">
        <v>0</v>
      </c>
      <c r="N260" s="478"/>
      <c r="O260" s="479"/>
      <c r="P260" s="479"/>
      <c r="Q260" s="480"/>
      <c r="R260" s="183" t="b">
        <v>0</v>
      </c>
      <c r="S260" s="53"/>
      <c r="T260" s="48"/>
      <c r="U260" s="49"/>
      <c r="V260" s="50">
        <f t="shared" si="19"/>
        <v>0</v>
      </c>
      <c r="Y260" s="51">
        <f t="shared" si="22"/>
        <v>0</v>
      </c>
      <c r="Z260" s="51">
        <f t="shared" si="23"/>
        <v>0</v>
      </c>
      <c r="AA260" s="51">
        <f t="shared" si="24"/>
        <v>0</v>
      </c>
      <c r="AB260" s="51" t="str">
        <f t="shared" si="25"/>
        <v/>
      </c>
      <c r="AC260" s="51" t="str">
        <f t="shared" si="25"/>
        <v/>
      </c>
    </row>
    <row r="261" spans="1:29" s="51" customFormat="1" ht="33.75" customHeight="1">
      <c r="A261" s="52">
        <v>240</v>
      </c>
      <c r="B261" s="342"/>
      <c r="C261" s="343"/>
      <c r="D261" s="344"/>
      <c r="E261" s="45"/>
      <c r="F261" s="53"/>
      <c r="G261" s="53"/>
      <c r="H261" s="53"/>
      <c r="I261" s="53"/>
      <c r="J261" s="169"/>
      <c r="K261" s="162"/>
      <c r="L261" s="166">
        <f t="shared" si="21"/>
        <v>0</v>
      </c>
      <c r="M261" s="183" t="b">
        <v>0</v>
      </c>
      <c r="N261" s="478"/>
      <c r="O261" s="479"/>
      <c r="P261" s="479"/>
      <c r="Q261" s="480"/>
      <c r="R261" s="183" t="b">
        <v>0</v>
      </c>
      <c r="S261" s="53"/>
      <c r="T261" s="48"/>
      <c r="U261" s="49"/>
      <c r="V261" s="50">
        <f t="shared" si="19"/>
        <v>0</v>
      </c>
      <c r="Y261" s="51">
        <f t="shared" si="22"/>
        <v>0</v>
      </c>
      <c r="Z261" s="51">
        <f t="shared" si="23"/>
        <v>0</v>
      </c>
      <c r="AA261" s="51">
        <f t="shared" si="24"/>
        <v>0</v>
      </c>
      <c r="AB261" s="51" t="str">
        <f t="shared" si="25"/>
        <v/>
      </c>
      <c r="AC261" s="51" t="str">
        <f t="shared" si="25"/>
        <v/>
      </c>
    </row>
    <row r="262" spans="1:29" s="51" customFormat="1" ht="33.75" customHeight="1">
      <c r="A262" s="52">
        <v>241</v>
      </c>
      <c r="B262" s="342"/>
      <c r="C262" s="343"/>
      <c r="D262" s="344"/>
      <c r="E262" s="45"/>
      <c r="F262" s="53"/>
      <c r="G262" s="53"/>
      <c r="H262" s="53"/>
      <c r="I262" s="53"/>
      <c r="J262" s="169"/>
      <c r="K262" s="162"/>
      <c r="L262" s="57">
        <f t="shared" si="21"/>
        <v>0</v>
      </c>
      <c r="M262" s="183" t="b">
        <v>0</v>
      </c>
      <c r="N262" s="478"/>
      <c r="O262" s="479"/>
      <c r="P262" s="479"/>
      <c r="Q262" s="480"/>
      <c r="R262" s="183" t="b">
        <v>0</v>
      </c>
      <c r="S262" s="53"/>
      <c r="T262" s="48"/>
      <c r="U262" s="49"/>
      <c r="V262" s="50">
        <f t="shared" si="19"/>
        <v>0</v>
      </c>
      <c r="Y262" s="51">
        <f t="shared" si="22"/>
        <v>0</v>
      </c>
      <c r="Z262" s="51">
        <f t="shared" si="23"/>
        <v>0</v>
      </c>
      <c r="AA262" s="51">
        <f t="shared" si="24"/>
        <v>0</v>
      </c>
      <c r="AB262" s="51" t="str">
        <f t="shared" si="25"/>
        <v/>
      </c>
      <c r="AC262" s="51" t="str">
        <f t="shared" si="25"/>
        <v/>
      </c>
    </row>
    <row r="263" spans="1:29" s="51" customFormat="1" ht="33.75" customHeight="1">
      <c r="A263" s="52">
        <v>242</v>
      </c>
      <c r="B263" s="342"/>
      <c r="C263" s="343"/>
      <c r="D263" s="344"/>
      <c r="E263" s="45"/>
      <c r="F263" s="53"/>
      <c r="G263" s="53"/>
      <c r="H263" s="53"/>
      <c r="I263" s="53"/>
      <c r="J263" s="169"/>
      <c r="K263" s="162"/>
      <c r="L263" s="57">
        <f t="shared" si="21"/>
        <v>0</v>
      </c>
      <c r="M263" s="183" t="b">
        <v>0</v>
      </c>
      <c r="N263" s="478"/>
      <c r="O263" s="479"/>
      <c r="P263" s="479"/>
      <c r="Q263" s="480"/>
      <c r="R263" s="183" t="b">
        <v>0</v>
      </c>
      <c r="S263" s="53"/>
      <c r="T263" s="55"/>
      <c r="U263" s="56"/>
      <c r="V263" s="50">
        <f t="shared" si="19"/>
        <v>0</v>
      </c>
      <c r="Y263" s="51">
        <f t="shared" si="22"/>
        <v>0</v>
      </c>
      <c r="Z263" s="51">
        <f t="shared" si="23"/>
        <v>0</v>
      </c>
      <c r="AA263" s="51">
        <f t="shared" si="24"/>
        <v>0</v>
      </c>
      <c r="AB263" s="51" t="str">
        <f t="shared" si="25"/>
        <v/>
      </c>
      <c r="AC263" s="51" t="str">
        <f t="shared" si="25"/>
        <v/>
      </c>
    </row>
    <row r="264" spans="1:29" s="51" customFormat="1" ht="33.75" customHeight="1">
      <c r="A264" s="52">
        <v>243</v>
      </c>
      <c r="B264" s="342"/>
      <c r="C264" s="343"/>
      <c r="D264" s="344"/>
      <c r="E264" s="45"/>
      <c r="F264" s="53"/>
      <c r="G264" s="53"/>
      <c r="H264" s="53"/>
      <c r="I264" s="53"/>
      <c r="J264" s="169"/>
      <c r="K264" s="162"/>
      <c r="L264" s="57">
        <f t="shared" si="21"/>
        <v>0</v>
      </c>
      <c r="M264" s="183" t="b">
        <v>0</v>
      </c>
      <c r="N264" s="478"/>
      <c r="O264" s="479"/>
      <c r="P264" s="479"/>
      <c r="Q264" s="480"/>
      <c r="R264" s="183" t="b">
        <v>0</v>
      </c>
      <c r="S264" s="53"/>
      <c r="T264" s="55"/>
      <c r="U264" s="56"/>
      <c r="V264" s="50">
        <f t="shared" si="19"/>
        <v>0</v>
      </c>
      <c r="Y264" s="51">
        <f t="shared" si="22"/>
        <v>0</v>
      </c>
      <c r="Z264" s="51">
        <f t="shared" si="23"/>
        <v>0</v>
      </c>
      <c r="AA264" s="51">
        <f t="shared" si="24"/>
        <v>0</v>
      </c>
      <c r="AB264" s="51" t="str">
        <f t="shared" si="25"/>
        <v/>
      </c>
      <c r="AC264" s="51" t="str">
        <f t="shared" si="25"/>
        <v/>
      </c>
    </row>
    <row r="265" spans="1:29" s="51" customFormat="1" ht="33.75" customHeight="1">
      <c r="A265" s="52">
        <v>244</v>
      </c>
      <c r="B265" s="342"/>
      <c r="C265" s="343"/>
      <c r="D265" s="344"/>
      <c r="E265" s="45"/>
      <c r="F265" s="53"/>
      <c r="G265" s="53"/>
      <c r="H265" s="53"/>
      <c r="I265" s="53"/>
      <c r="J265" s="169"/>
      <c r="K265" s="162"/>
      <c r="L265" s="57">
        <f t="shared" si="21"/>
        <v>0</v>
      </c>
      <c r="M265" s="183" t="b">
        <v>0</v>
      </c>
      <c r="N265" s="478"/>
      <c r="O265" s="479"/>
      <c r="P265" s="479"/>
      <c r="Q265" s="480"/>
      <c r="R265" s="183" t="b">
        <v>0</v>
      </c>
      <c r="S265" s="53"/>
      <c r="T265" s="55"/>
      <c r="U265" s="56"/>
      <c r="V265" s="50">
        <f t="shared" si="19"/>
        <v>0</v>
      </c>
      <c r="Y265" s="51">
        <f t="shared" si="22"/>
        <v>0</v>
      </c>
      <c r="Z265" s="51">
        <f t="shared" si="23"/>
        <v>0</v>
      </c>
      <c r="AA265" s="51">
        <f t="shared" si="24"/>
        <v>0</v>
      </c>
      <c r="AB265" s="51" t="str">
        <f t="shared" si="25"/>
        <v/>
      </c>
      <c r="AC265" s="51" t="str">
        <f t="shared" si="25"/>
        <v/>
      </c>
    </row>
    <row r="266" spans="1:29" s="51" customFormat="1" ht="33.75" customHeight="1">
      <c r="A266" s="52">
        <v>245</v>
      </c>
      <c r="B266" s="342"/>
      <c r="C266" s="343"/>
      <c r="D266" s="344"/>
      <c r="E266" s="45"/>
      <c r="F266" s="53"/>
      <c r="G266" s="53"/>
      <c r="H266" s="53"/>
      <c r="I266" s="53"/>
      <c r="J266" s="169"/>
      <c r="K266" s="162"/>
      <c r="L266" s="57">
        <f t="shared" si="21"/>
        <v>0</v>
      </c>
      <c r="M266" s="183" t="b">
        <v>0</v>
      </c>
      <c r="N266" s="478"/>
      <c r="O266" s="479"/>
      <c r="P266" s="479"/>
      <c r="Q266" s="480"/>
      <c r="R266" s="183" t="b">
        <v>0</v>
      </c>
      <c r="S266" s="53"/>
      <c r="T266" s="55"/>
      <c r="U266" s="56"/>
      <c r="V266" s="50">
        <f t="shared" si="19"/>
        <v>0</v>
      </c>
      <c r="Y266" s="51">
        <f t="shared" si="22"/>
        <v>0</v>
      </c>
      <c r="Z266" s="51">
        <f t="shared" si="23"/>
        <v>0</v>
      </c>
      <c r="AA266" s="51">
        <f t="shared" si="24"/>
        <v>0</v>
      </c>
      <c r="AB266" s="51" t="str">
        <f t="shared" si="25"/>
        <v/>
      </c>
      <c r="AC266" s="51" t="str">
        <f t="shared" si="25"/>
        <v/>
      </c>
    </row>
    <row r="267" spans="1:29" s="51" customFormat="1" ht="33.75" customHeight="1">
      <c r="A267" s="52">
        <v>246</v>
      </c>
      <c r="B267" s="342"/>
      <c r="C267" s="343"/>
      <c r="D267" s="344"/>
      <c r="E267" s="45"/>
      <c r="F267" s="53"/>
      <c r="G267" s="53"/>
      <c r="H267" s="53"/>
      <c r="I267" s="53"/>
      <c r="J267" s="169"/>
      <c r="K267" s="162"/>
      <c r="L267" s="57">
        <f t="shared" si="21"/>
        <v>0</v>
      </c>
      <c r="M267" s="183" t="b">
        <v>0</v>
      </c>
      <c r="N267" s="478"/>
      <c r="O267" s="479"/>
      <c r="P267" s="479"/>
      <c r="Q267" s="480"/>
      <c r="R267" s="183" t="b">
        <v>0</v>
      </c>
      <c r="S267" s="53"/>
      <c r="T267" s="55"/>
      <c r="U267" s="56"/>
      <c r="V267" s="50">
        <f t="shared" si="19"/>
        <v>0</v>
      </c>
      <c r="Y267" s="51">
        <f t="shared" si="22"/>
        <v>0</v>
      </c>
      <c r="Z267" s="51">
        <f t="shared" si="23"/>
        <v>0</v>
      </c>
      <c r="AA267" s="51">
        <f t="shared" si="24"/>
        <v>0</v>
      </c>
      <c r="AB267" s="51" t="str">
        <f t="shared" si="25"/>
        <v/>
      </c>
      <c r="AC267" s="51" t="str">
        <f t="shared" si="25"/>
        <v/>
      </c>
    </row>
    <row r="268" spans="1:29" s="51" customFormat="1" ht="33.75" customHeight="1">
      <c r="A268" s="52">
        <v>247</v>
      </c>
      <c r="B268" s="342"/>
      <c r="C268" s="343"/>
      <c r="D268" s="344"/>
      <c r="E268" s="45"/>
      <c r="F268" s="53"/>
      <c r="G268" s="53"/>
      <c r="H268" s="53"/>
      <c r="I268" s="53"/>
      <c r="J268" s="169"/>
      <c r="K268" s="162"/>
      <c r="L268" s="57">
        <f t="shared" si="21"/>
        <v>0</v>
      </c>
      <c r="M268" s="183" t="b">
        <v>0</v>
      </c>
      <c r="N268" s="478"/>
      <c r="O268" s="479"/>
      <c r="P268" s="479"/>
      <c r="Q268" s="480"/>
      <c r="R268" s="183" t="b">
        <v>0</v>
      </c>
      <c r="S268" s="53"/>
      <c r="T268" s="55"/>
      <c r="U268" s="56"/>
      <c r="V268" s="50">
        <f t="shared" si="19"/>
        <v>0</v>
      </c>
      <c r="Y268" s="51">
        <f t="shared" si="22"/>
        <v>0</v>
      </c>
      <c r="Z268" s="51">
        <f t="shared" si="23"/>
        <v>0</v>
      </c>
      <c r="AA268" s="51">
        <f t="shared" si="24"/>
        <v>0</v>
      </c>
      <c r="AB268" s="51" t="str">
        <f t="shared" si="25"/>
        <v/>
      </c>
      <c r="AC268" s="51" t="str">
        <f t="shared" si="25"/>
        <v/>
      </c>
    </row>
    <row r="269" spans="1:29" s="51" customFormat="1" ht="33.75" customHeight="1">
      <c r="A269" s="52">
        <v>248</v>
      </c>
      <c r="B269" s="342"/>
      <c r="C269" s="343"/>
      <c r="D269" s="344"/>
      <c r="E269" s="45"/>
      <c r="F269" s="53"/>
      <c r="G269" s="53"/>
      <c r="H269" s="53"/>
      <c r="I269" s="53"/>
      <c r="J269" s="169"/>
      <c r="K269" s="162"/>
      <c r="L269" s="57">
        <f t="shared" si="21"/>
        <v>0</v>
      </c>
      <c r="M269" s="183" t="b">
        <v>0</v>
      </c>
      <c r="N269" s="478"/>
      <c r="O269" s="479"/>
      <c r="P269" s="479"/>
      <c r="Q269" s="480"/>
      <c r="R269" s="183" t="b">
        <v>0</v>
      </c>
      <c r="S269" s="53"/>
      <c r="T269" s="55"/>
      <c r="U269" s="56"/>
      <c r="V269" s="50">
        <f t="shared" si="19"/>
        <v>0</v>
      </c>
      <c r="Y269" s="51">
        <f t="shared" si="22"/>
        <v>0</v>
      </c>
      <c r="Z269" s="51">
        <f t="shared" si="23"/>
        <v>0</v>
      </c>
      <c r="AA269" s="51">
        <f t="shared" si="24"/>
        <v>0</v>
      </c>
      <c r="AB269" s="51" t="str">
        <f t="shared" si="25"/>
        <v/>
      </c>
      <c r="AC269" s="51" t="str">
        <f t="shared" si="25"/>
        <v/>
      </c>
    </row>
    <row r="270" spans="1:29" s="51" customFormat="1" ht="33.75" customHeight="1">
      <c r="A270" s="52">
        <v>249</v>
      </c>
      <c r="B270" s="342"/>
      <c r="C270" s="343"/>
      <c r="D270" s="344"/>
      <c r="E270" s="45"/>
      <c r="F270" s="53"/>
      <c r="G270" s="53"/>
      <c r="H270" s="53"/>
      <c r="I270" s="53"/>
      <c r="J270" s="169"/>
      <c r="K270" s="162"/>
      <c r="L270" s="57">
        <f t="shared" si="21"/>
        <v>0</v>
      </c>
      <c r="M270" s="183" t="b">
        <v>0</v>
      </c>
      <c r="N270" s="478"/>
      <c r="O270" s="479"/>
      <c r="P270" s="479"/>
      <c r="Q270" s="480"/>
      <c r="R270" s="183" t="b">
        <v>0</v>
      </c>
      <c r="S270" s="53"/>
      <c r="T270" s="55"/>
      <c r="U270" s="56"/>
      <c r="V270" s="50">
        <f t="shared" si="19"/>
        <v>0</v>
      </c>
      <c r="Y270" s="51">
        <f t="shared" si="22"/>
        <v>0</v>
      </c>
      <c r="Z270" s="51">
        <f t="shared" si="23"/>
        <v>0</v>
      </c>
      <c r="AA270" s="51">
        <f t="shared" si="24"/>
        <v>0</v>
      </c>
      <c r="AB270" s="51" t="str">
        <f t="shared" si="25"/>
        <v/>
      </c>
      <c r="AC270" s="51" t="str">
        <f t="shared" si="25"/>
        <v/>
      </c>
    </row>
    <row r="271" spans="1:29" s="51" customFormat="1" ht="33.75" customHeight="1">
      <c r="A271" s="52">
        <v>250</v>
      </c>
      <c r="B271" s="342"/>
      <c r="C271" s="343"/>
      <c r="D271" s="344"/>
      <c r="E271" s="45"/>
      <c r="F271" s="53"/>
      <c r="G271" s="53"/>
      <c r="H271" s="53"/>
      <c r="I271" s="53"/>
      <c r="J271" s="169"/>
      <c r="K271" s="162"/>
      <c r="L271" s="57">
        <f t="shared" si="21"/>
        <v>0</v>
      </c>
      <c r="M271" s="183" t="b">
        <v>0</v>
      </c>
      <c r="N271" s="478"/>
      <c r="O271" s="479"/>
      <c r="P271" s="479"/>
      <c r="Q271" s="480"/>
      <c r="R271" s="183" t="b">
        <v>0</v>
      </c>
      <c r="S271" s="53"/>
      <c r="T271" s="55"/>
      <c r="U271" s="56"/>
      <c r="V271" s="50">
        <f t="shared" si="19"/>
        <v>0</v>
      </c>
      <c r="Y271" s="51">
        <f t="shared" si="22"/>
        <v>0</v>
      </c>
      <c r="Z271" s="51">
        <f t="shared" si="23"/>
        <v>0</v>
      </c>
      <c r="AA271" s="51">
        <f t="shared" si="24"/>
        <v>0</v>
      </c>
      <c r="AB271" s="51" t="str">
        <f t="shared" si="25"/>
        <v/>
      </c>
      <c r="AC271" s="51" t="str">
        <f t="shared" si="25"/>
        <v/>
      </c>
    </row>
    <row r="272" spans="1:29" s="51" customFormat="1" ht="33.75" customHeight="1">
      <c r="A272" s="52">
        <v>251</v>
      </c>
      <c r="B272" s="342"/>
      <c r="C272" s="343"/>
      <c r="D272" s="344"/>
      <c r="E272" s="45"/>
      <c r="F272" s="53"/>
      <c r="G272" s="53"/>
      <c r="H272" s="53"/>
      <c r="I272" s="53"/>
      <c r="J272" s="169"/>
      <c r="K272" s="162"/>
      <c r="L272" s="57">
        <f t="shared" si="21"/>
        <v>0</v>
      </c>
      <c r="M272" s="183" t="b">
        <v>0</v>
      </c>
      <c r="N272" s="478"/>
      <c r="O272" s="479"/>
      <c r="P272" s="479"/>
      <c r="Q272" s="480"/>
      <c r="R272" s="183" t="b">
        <v>0</v>
      </c>
      <c r="S272" s="53"/>
      <c r="T272" s="55"/>
      <c r="U272" s="56"/>
      <c r="V272" s="50">
        <f t="shared" si="19"/>
        <v>0</v>
      </c>
      <c r="Y272" s="51">
        <f t="shared" si="22"/>
        <v>0</v>
      </c>
      <c r="Z272" s="51">
        <f t="shared" si="23"/>
        <v>0</v>
      </c>
      <c r="AA272" s="51">
        <f t="shared" si="24"/>
        <v>0</v>
      </c>
      <c r="AB272" s="51" t="str">
        <f t="shared" si="25"/>
        <v/>
      </c>
      <c r="AC272" s="51" t="str">
        <f t="shared" si="25"/>
        <v/>
      </c>
    </row>
    <row r="273" spans="1:29" s="51" customFormat="1" ht="33.75" customHeight="1">
      <c r="A273" s="52">
        <v>252</v>
      </c>
      <c r="B273" s="342"/>
      <c r="C273" s="343"/>
      <c r="D273" s="344"/>
      <c r="E273" s="45"/>
      <c r="F273" s="53"/>
      <c r="G273" s="53"/>
      <c r="H273" s="53"/>
      <c r="I273" s="53"/>
      <c r="J273" s="169"/>
      <c r="K273" s="162"/>
      <c r="L273" s="57">
        <f t="shared" si="21"/>
        <v>0</v>
      </c>
      <c r="M273" s="183" t="b">
        <v>0</v>
      </c>
      <c r="N273" s="478"/>
      <c r="O273" s="479"/>
      <c r="P273" s="479"/>
      <c r="Q273" s="480"/>
      <c r="R273" s="183" t="b">
        <v>0</v>
      </c>
      <c r="S273" s="53"/>
      <c r="T273" s="55"/>
      <c r="U273" s="56"/>
      <c r="V273" s="50">
        <f t="shared" si="19"/>
        <v>0</v>
      </c>
      <c r="Y273" s="51">
        <f t="shared" si="22"/>
        <v>0</v>
      </c>
      <c r="Z273" s="51">
        <f t="shared" si="23"/>
        <v>0</v>
      </c>
      <c r="AA273" s="51">
        <f t="shared" si="24"/>
        <v>0</v>
      </c>
      <c r="AB273" s="51" t="str">
        <f t="shared" si="25"/>
        <v/>
      </c>
      <c r="AC273" s="51" t="str">
        <f t="shared" si="25"/>
        <v/>
      </c>
    </row>
    <row r="274" spans="1:29" s="51" customFormat="1" ht="33.75" customHeight="1">
      <c r="A274" s="52">
        <v>253</v>
      </c>
      <c r="B274" s="342"/>
      <c r="C274" s="343"/>
      <c r="D274" s="344"/>
      <c r="E274" s="45"/>
      <c r="F274" s="53"/>
      <c r="G274" s="53"/>
      <c r="H274" s="53"/>
      <c r="I274" s="53"/>
      <c r="J274" s="169"/>
      <c r="K274" s="162"/>
      <c r="L274" s="57">
        <f t="shared" si="21"/>
        <v>0</v>
      </c>
      <c r="M274" s="183" t="b">
        <v>0</v>
      </c>
      <c r="N274" s="478"/>
      <c r="O274" s="479"/>
      <c r="P274" s="479"/>
      <c r="Q274" s="480"/>
      <c r="R274" s="183" t="b">
        <v>0</v>
      </c>
      <c r="S274" s="53"/>
      <c r="T274" s="55"/>
      <c r="U274" s="56"/>
      <c r="V274" s="50">
        <f t="shared" si="19"/>
        <v>0</v>
      </c>
      <c r="Y274" s="51">
        <f t="shared" si="22"/>
        <v>0</v>
      </c>
      <c r="Z274" s="51">
        <f t="shared" si="23"/>
        <v>0</v>
      </c>
      <c r="AA274" s="51">
        <f t="shared" si="24"/>
        <v>0</v>
      </c>
      <c r="AB274" s="51" t="str">
        <f t="shared" si="25"/>
        <v/>
      </c>
      <c r="AC274" s="51" t="str">
        <f t="shared" si="25"/>
        <v/>
      </c>
    </row>
    <row r="275" spans="1:29" s="51" customFormat="1" ht="33.75" customHeight="1">
      <c r="A275" s="52">
        <v>254</v>
      </c>
      <c r="B275" s="342"/>
      <c r="C275" s="343"/>
      <c r="D275" s="344"/>
      <c r="E275" s="45"/>
      <c r="F275" s="53"/>
      <c r="G275" s="53"/>
      <c r="H275" s="53"/>
      <c r="I275" s="53"/>
      <c r="J275" s="169"/>
      <c r="K275" s="162"/>
      <c r="L275" s="57">
        <f t="shared" si="21"/>
        <v>0</v>
      </c>
      <c r="M275" s="183" t="b">
        <v>0</v>
      </c>
      <c r="N275" s="478"/>
      <c r="O275" s="479"/>
      <c r="P275" s="479"/>
      <c r="Q275" s="480"/>
      <c r="R275" s="183" t="b">
        <v>0</v>
      </c>
      <c r="S275" s="53"/>
      <c r="T275" s="55"/>
      <c r="U275" s="56"/>
      <c r="V275" s="50">
        <f t="shared" si="19"/>
        <v>0</v>
      </c>
      <c r="Y275" s="51">
        <f t="shared" si="22"/>
        <v>0</v>
      </c>
      <c r="Z275" s="51">
        <f t="shared" si="23"/>
        <v>0</v>
      </c>
      <c r="AA275" s="51">
        <f t="shared" si="24"/>
        <v>0</v>
      </c>
      <c r="AB275" s="51" t="str">
        <f t="shared" si="25"/>
        <v/>
      </c>
      <c r="AC275" s="51" t="str">
        <f t="shared" si="25"/>
        <v/>
      </c>
    </row>
    <row r="276" spans="1:29" s="51" customFormat="1" ht="33.75" customHeight="1">
      <c r="A276" s="52">
        <v>255</v>
      </c>
      <c r="B276" s="342"/>
      <c r="C276" s="343"/>
      <c r="D276" s="344"/>
      <c r="E276" s="45"/>
      <c r="F276" s="53"/>
      <c r="G276" s="53"/>
      <c r="H276" s="53"/>
      <c r="I276" s="53"/>
      <c r="J276" s="169"/>
      <c r="K276" s="162"/>
      <c r="L276" s="57">
        <f t="shared" si="21"/>
        <v>0</v>
      </c>
      <c r="M276" s="183" t="b">
        <v>0</v>
      </c>
      <c r="N276" s="478"/>
      <c r="O276" s="479"/>
      <c r="P276" s="479"/>
      <c r="Q276" s="480"/>
      <c r="R276" s="183" t="b">
        <v>0</v>
      </c>
      <c r="S276" s="53"/>
      <c r="T276" s="55"/>
      <c r="U276" s="56"/>
      <c r="V276" s="50">
        <f t="shared" si="19"/>
        <v>0</v>
      </c>
      <c r="Y276" s="51">
        <f t="shared" si="22"/>
        <v>0</v>
      </c>
      <c r="Z276" s="51">
        <f t="shared" si="23"/>
        <v>0</v>
      </c>
      <c r="AA276" s="51">
        <f t="shared" si="24"/>
        <v>0</v>
      </c>
      <c r="AB276" s="51" t="str">
        <f t="shared" si="25"/>
        <v/>
      </c>
      <c r="AC276" s="51" t="str">
        <f t="shared" si="25"/>
        <v/>
      </c>
    </row>
    <row r="277" spans="1:29" s="51" customFormat="1" ht="33.75" customHeight="1">
      <c r="A277" s="52">
        <v>256</v>
      </c>
      <c r="B277" s="342"/>
      <c r="C277" s="343"/>
      <c r="D277" s="344"/>
      <c r="E277" s="45"/>
      <c r="F277" s="53"/>
      <c r="G277" s="53"/>
      <c r="H277" s="53"/>
      <c r="I277" s="53"/>
      <c r="J277" s="169"/>
      <c r="K277" s="162"/>
      <c r="L277" s="57">
        <f t="shared" si="21"/>
        <v>0</v>
      </c>
      <c r="M277" s="183" t="b">
        <v>0</v>
      </c>
      <c r="N277" s="478"/>
      <c r="O277" s="479"/>
      <c r="P277" s="479"/>
      <c r="Q277" s="480"/>
      <c r="R277" s="183" t="b">
        <v>0</v>
      </c>
      <c r="S277" s="53"/>
      <c r="T277" s="55"/>
      <c r="U277" s="56"/>
      <c r="V277" s="50">
        <f t="shared" si="19"/>
        <v>0</v>
      </c>
      <c r="Y277" s="51">
        <f t="shared" si="22"/>
        <v>0</v>
      </c>
      <c r="Z277" s="51">
        <f t="shared" si="23"/>
        <v>0</v>
      </c>
      <c r="AA277" s="51">
        <f t="shared" si="24"/>
        <v>0</v>
      </c>
      <c r="AB277" s="51" t="str">
        <f t="shared" si="25"/>
        <v/>
      </c>
      <c r="AC277" s="51" t="str">
        <f t="shared" si="25"/>
        <v/>
      </c>
    </row>
    <row r="278" spans="1:29" s="51" customFormat="1" ht="33.75" customHeight="1">
      <c r="A278" s="52">
        <v>257</v>
      </c>
      <c r="B278" s="342"/>
      <c r="C278" s="343"/>
      <c r="D278" s="344"/>
      <c r="E278" s="45"/>
      <c r="F278" s="53"/>
      <c r="G278" s="53"/>
      <c r="H278" s="53"/>
      <c r="I278" s="53"/>
      <c r="J278" s="169"/>
      <c r="K278" s="162"/>
      <c r="L278" s="57">
        <f t="shared" si="21"/>
        <v>0</v>
      </c>
      <c r="M278" s="183" t="b">
        <v>0</v>
      </c>
      <c r="N278" s="478"/>
      <c r="O278" s="479"/>
      <c r="P278" s="479"/>
      <c r="Q278" s="480"/>
      <c r="R278" s="183" t="b">
        <v>0</v>
      </c>
      <c r="S278" s="53"/>
      <c r="T278" s="55"/>
      <c r="U278" s="56"/>
      <c r="V278" s="50">
        <f t="shared" ref="V278:V421" si="26">MAX(F278:I278)</f>
        <v>0</v>
      </c>
      <c r="Y278" s="51">
        <f t="shared" si="22"/>
        <v>0</v>
      </c>
      <c r="Z278" s="51">
        <f t="shared" si="23"/>
        <v>0</v>
      </c>
      <c r="AA278" s="51">
        <f t="shared" si="24"/>
        <v>0</v>
      </c>
      <c r="AB278" s="51" t="str">
        <f t="shared" si="25"/>
        <v/>
      </c>
      <c r="AC278" s="51" t="str">
        <f t="shared" ref="AC278" si="27">IF(I278="","",IF($E278="男",1,IF($E278="女",2,"")))</f>
        <v/>
      </c>
    </row>
    <row r="279" spans="1:29" s="51" customFormat="1" ht="33.75" customHeight="1">
      <c r="A279" s="52">
        <v>258</v>
      </c>
      <c r="B279" s="342"/>
      <c r="C279" s="343"/>
      <c r="D279" s="344"/>
      <c r="E279" s="45"/>
      <c r="F279" s="53"/>
      <c r="G279" s="53"/>
      <c r="H279" s="53"/>
      <c r="I279" s="53"/>
      <c r="J279" s="169"/>
      <c r="K279" s="162"/>
      <c r="L279" s="57">
        <f t="shared" ref="L279:L421" si="28">COUNT(F279:I279)</f>
        <v>0</v>
      </c>
      <c r="M279" s="183" t="b">
        <v>0</v>
      </c>
      <c r="N279" s="478"/>
      <c r="O279" s="479"/>
      <c r="P279" s="479"/>
      <c r="Q279" s="480"/>
      <c r="R279" s="183" t="b">
        <v>0</v>
      </c>
      <c r="S279" s="53"/>
      <c r="T279" s="55"/>
      <c r="U279" s="56"/>
      <c r="V279" s="50">
        <f t="shared" si="26"/>
        <v>0</v>
      </c>
      <c r="Y279" s="51">
        <f t="shared" ref="Y279:Y421" si="29">MAX(F279:I279)</f>
        <v>0</v>
      </c>
      <c r="Z279" s="51">
        <f t="shared" ref="Z279:Z342" si="30">COUNTA(F279:I279)</f>
        <v>0</v>
      </c>
      <c r="AA279" s="51">
        <f t="shared" ref="AA279:AA342" si="31">COUNTA($J279)</f>
        <v>0</v>
      </c>
      <c r="AB279" s="51" t="str">
        <f t="shared" ref="AB279:AC342" si="32">IF(H279="","",IF($E279="男",1,IF($E279="女",2,"")))</f>
        <v/>
      </c>
      <c r="AC279" s="51" t="str">
        <f t="shared" si="32"/>
        <v/>
      </c>
    </row>
    <row r="280" spans="1:29" s="51" customFormat="1" ht="33.75" customHeight="1">
      <c r="A280" s="52">
        <v>259</v>
      </c>
      <c r="B280" s="342"/>
      <c r="C280" s="343"/>
      <c r="D280" s="344"/>
      <c r="E280" s="45"/>
      <c r="F280" s="53"/>
      <c r="G280" s="53"/>
      <c r="H280" s="53"/>
      <c r="I280" s="53"/>
      <c r="J280" s="169"/>
      <c r="K280" s="162"/>
      <c r="L280" s="57">
        <f t="shared" si="28"/>
        <v>0</v>
      </c>
      <c r="M280" s="183" t="b">
        <v>0</v>
      </c>
      <c r="N280" s="478"/>
      <c r="O280" s="479"/>
      <c r="P280" s="479"/>
      <c r="Q280" s="480"/>
      <c r="R280" s="183" t="b">
        <v>0</v>
      </c>
      <c r="S280" s="53"/>
      <c r="T280" s="55"/>
      <c r="U280" s="56"/>
      <c r="V280" s="50">
        <f t="shared" si="26"/>
        <v>0</v>
      </c>
      <c r="Y280" s="51">
        <f t="shared" si="29"/>
        <v>0</v>
      </c>
      <c r="Z280" s="51">
        <f t="shared" si="30"/>
        <v>0</v>
      </c>
      <c r="AA280" s="51">
        <f t="shared" si="31"/>
        <v>0</v>
      </c>
      <c r="AB280" s="51" t="str">
        <f t="shared" si="32"/>
        <v/>
      </c>
      <c r="AC280" s="51" t="str">
        <f t="shared" si="32"/>
        <v/>
      </c>
    </row>
    <row r="281" spans="1:29" s="51" customFormat="1" ht="33.75" customHeight="1">
      <c r="A281" s="52">
        <v>260</v>
      </c>
      <c r="B281" s="342"/>
      <c r="C281" s="343"/>
      <c r="D281" s="344"/>
      <c r="E281" s="45"/>
      <c r="F281" s="53"/>
      <c r="G281" s="53"/>
      <c r="H281" s="53"/>
      <c r="I281" s="53"/>
      <c r="J281" s="169"/>
      <c r="K281" s="162"/>
      <c r="L281" s="57">
        <f t="shared" si="28"/>
        <v>0</v>
      </c>
      <c r="M281" s="183" t="b">
        <v>0</v>
      </c>
      <c r="N281" s="478"/>
      <c r="O281" s="479"/>
      <c r="P281" s="479"/>
      <c r="Q281" s="480"/>
      <c r="R281" s="183" t="b">
        <v>0</v>
      </c>
      <c r="S281" s="53"/>
      <c r="T281" s="55"/>
      <c r="U281" s="56"/>
      <c r="V281" s="50">
        <f t="shared" si="26"/>
        <v>0</v>
      </c>
      <c r="Y281" s="51">
        <f t="shared" si="29"/>
        <v>0</v>
      </c>
      <c r="Z281" s="51">
        <f t="shared" si="30"/>
        <v>0</v>
      </c>
      <c r="AA281" s="51">
        <f t="shared" si="31"/>
        <v>0</v>
      </c>
      <c r="AB281" s="51" t="str">
        <f t="shared" si="32"/>
        <v/>
      </c>
      <c r="AC281" s="51" t="str">
        <f t="shared" si="32"/>
        <v/>
      </c>
    </row>
    <row r="282" spans="1:29" s="51" customFormat="1" ht="33.75" customHeight="1">
      <c r="A282" s="52">
        <v>261</v>
      </c>
      <c r="B282" s="342"/>
      <c r="C282" s="343"/>
      <c r="D282" s="344"/>
      <c r="E282" s="45"/>
      <c r="F282" s="53"/>
      <c r="G282" s="53"/>
      <c r="H282" s="53"/>
      <c r="I282" s="53"/>
      <c r="J282" s="169"/>
      <c r="K282" s="162"/>
      <c r="L282" s="57">
        <f t="shared" si="28"/>
        <v>0</v>
      </c>
      <c r="M282" s="183" t="b">
        <v>0</v>
      </c>
      <c r="N282" s="478"/>
      <c r="O282" s="479"/>
      <c r="P282" s="479"/>
      <c r="Q282" s="480"/>
      <c r="R282" s="183" t="b">
        <v>0</v>
      </c>
      <c r="S282" s="53"/>
      <c r="T282" s="55"/>
      <c r="U282" s="56"/>
      <c r="V282" s="50">
        <f t="shared" si="26"/>
        <v>0</v>
      </c>
      <c r="Y282" s="51">
        <f t="shared" si="29"/>
        <v>0</v>
      </c>
      <c r="Z282" s="51">
        <f t="shared" si="30"/>
        <v>0</v>
      </c>
      <c r="AA282" s="51">
        <f t="shared" si="31"/>
        <v>0</v>
      </c>
      <c r="AB282" s="51" t="str">
        <f t="shared" si="32"/>
        <v/>
      </c>
      <c r="AC282" s="51" t="str">
        <f t="shared" si="32"/>
        <v/>
      </c>
    </row>
    <row r="283" spans="1:29" s="51" customFormat="1" ht="33.75" customHeight="1">
      <c r="A283" s="52">
        <v>262</v>
      </c>
      <c r="B283" s="342"/>
      <c r="C283" s="343"/>
      <c r="D283" s="344"/>
      <c r="E283" s="45"/>
      <c r="F283" s="53"/>
      <c r="G283" s="53"/>
      <c r="H283" s="53"/>
      <c r="I283" s="53"/>
      <c r="J283" s="169"/>
      <c r="K283" s="162"/>
      <c r="L283" s="57">
        <f t="shared" si="28"/>
        <v>0</v>
      </c>
      <c r="M283" s="183" t="b">
        <v>0</v>
      </c>
      <c r="N283" s="478"/>
      <c r="O283" s="479"/>
      <c r="P283" s="479"/>
      <c r="Q283" s="480"/>
      <c r="R283" s="183" t="b">
        <v>0</v>
      </c>
      <c r="S283" s="53"/>
      <c r="T283" s="55"/>
      <c r="U283" s="56"/>
      <c r="V283" s="50">
        <f t="shared" si="26"/>
        <v>0</v>
      </c>
      <c r="Y283" s="51">
        <f t="shared" si="29"/>
        <v>0</v>
      </c>
      <c r="Z283" s="51">
        <f t="shared" si="30"/>
        <v>0</v>
      </c>
      <c r="AA283" s="51">
        <f t="shared" si="31"/>
        <v>0</v>
      </c>
      <c r="AB283" s="51" t="str">
        <f t="shared" si="32"/>
        <v/>
      </c>
      <c r="AC283" s="51" t="str">
        <f t="shared" si="32"/>
        <v/>
      </c>
    </row>
    <row r="284" spans="1:29" s="51" customFormat="1" ht="33.75" customHeight="1">
      <c r="A284" s="52">
        <v>263</v>
      </c>
      <c r="B284" s="342"/>
      <c r="C284" s="343"/>
      <c r="D284" s="344"/>
      <c r="E284" s="45"/>
      <c r="F284" s="53"/>
      <c r="G284" s="53"/>
      <c r="H284" s="53"/>
      <c r="I284" s="53"/>
      <c r="J284" s="169"/>
      <c r="K284" s="162"/>
      <c r="L284" s="57">
        <f t="shared" si="28"/>
        <v>0</v>
      </c>
      <c r="M284" s="183" t="b">
        <v>0</v>
      </c>
      <c r="N284" s="478"/>
      <c r="O284" s="479"/>
      <c r="P284" s="479"/>
      <c r="Q284" s="480"/>
      <c r="R284" s="183" t="b">
        <v>0</v>
      </c>
      <c r="S284" s="53"/>
      <c r="T284" s="55"/>
      <c r="U284" s="56"/>
      <c r="V284" s="50">
        <f t="shared" si="26"/>
        <v>0</v>
      </c>
      <c r="Y284" s="51">
        <f t="shared" si="29"/>
        <v>0</v>
      </c>
      <c r="Z284" s="51">
        <f t="shared" si="30"/>
        <v>0</v>
      </c>
      <c r="AA284" s="51">
        <f t="shared" si="31"/>
        <v>0</v>
      </c>
      <c r="AB284" s="51" t="str">
        <f t="shared" si="32"/>
        <v/>
      </c>
      <c r="AC284" s="51" t="str">
        <f t="shared" si="32"/>
        <v/>
      </c>
    </row>
    <row r="285" spans="1:29" s="51" customFormat="1" ht="33.75" customHeight="1">
      <c r="A285" s="52">
        <v>264</v>
      </c>
      <c r="B285" s="342"/>
      <c r="C285" s="343"/>
      <c r="D285" s="344"/>
      <c r="E285" s="45"/>
      <c r="F285" s="53"/>
      <c r="G285" s="53"/>
      <c r="H285" s="53"/>
      <c r="I285" s="53"/>
      <c r="J285" s="169"/>
      <c r="K285" s="162"/>
      <c r="L285" s="57">
        <f t="shared" si="28"/>
        <v>0</v>
      </c>
      <c r="M285" s="183" t="b">
        <v>0</v>
      </c>
      <c r="N285" s="478"/>
      <c r="O285" s="479"/>
      <c r="P285" s="479"/>
      <c r="Q285" s="480"/>
      <c r="R285" s="183" t="b">
        <v>0</v>
      </c>
      <c r="S285" s="53"/>
      <c r="T285" s="55"/>
      <c r="U285" s="56"/>
      <c r="V285" s="50">
        <f t="shared" si="26"/>
        <v>0</v>
      </c>
      <c r="Y285" s="51">
        <f t="shared" si="29"/>
        <v>0</v>
      </c>
      <c r="Z285" s="51">
        <f t="shared" si="30"/>
        <v>0</v>
      </c>
      <c r="AA285" s="51">
        <f t="shared" si="31"/>
        <v>0</v>
      </c>
      <c r="AB285" s="51" t="str">
        <f t="shared" si="32"/>
        <v/>
      </c>
      <c r="AC285" s="51" t="str">
        <f t="shared" si="32"/>
        <v/>
      </c>
    </row>
    <row r="286" spans="1:29" s="51" customFormat="1" ht="33.75" customHeight="1">
      <c r="A286" s="52">
        <v>265</v>
      </c>
      <c r="B286" s="342"/>
      <c r="C286" s="343"/>
      <c r="D286" s="344"/>
      <c r="E286" s="45"/>
      <c r="F286" s="53"/>
      <c r="G286" s="53"/>
      <c r="H286" s="53"/>
      <c r="I286" s="53"/>
      <c r="J286" s="169"/>
      <c r="K286" s="162"/>
      <c r="L286" s="57">
        <f t="shared" si="28"/>
        <v>0</v>
      </c>
      <c r="M286" s="183" t="b">
        <v>0</v>
      </c>
      <c r="N286" s="478"/>
      <c r="O286" s="479"/>
      <c r="P286" s="479"/>
      <c r="Q286" s="480"/>
      <c r="R286" s="183" t="b">
        <v>0</v>
      </c>
      <c r="S286" s="53"/>
      <c r="T286" s="55"/>
      <c r="U286" s="56"/>
      <c r="V286" s="50">
        <f t="shared" si="26"/>
        <v>0</v>
      </c>
      <c r="Y286" s="51">
        <f t="shared" si="29"/>
        <v>0</v>
      </c>
      <c r="Z286" s="51">
        <f t="shared" si="30"/>
        <v>0</v>
      </c>
      <c r="AA286" s="51">
        <f t="shared" si="31"/>
        <v>0</v>
      </c>
      <c r="AB286" s="51" t="str">
        <f t="shared" si="32"/>
        <v/>
      </c>
      <c r="AC286" s="51" t="str">
        <f t="shared" si="32"/>
        <v/>
      </c>
    </row>
    <row r="287" spans="1:29" s="51" customFormat="1" ht="33.75" customHeight="1">
      <c r="A287" s="52">
        <v>266</v>
      </c>
      <c r="B287" s="342"/>
      <c r="C287" s="343"/>
      <c r="D287" s="344"/>
      <c r="E287" s="45"/>
      <c r="F287" s="53"/>
      <c r="G287" s="53"/>
      <c r="H287" s="53"/>
      <c r="I287" s="53"/>
      <c r="J287" s="169"/>
      <c r="K287" s="162"/>
      <c r="L287" s="57">
        <f t="shared" si="28"/>
        <v>0</v>
      </c>
      <c r="M287" s="183" t="b">
        <v>0</v>
      </c>
      <c r="N287" s="478"/>
      <c r="O287" s="479"/>
      <c r="P287" s="479"/>
      <c r="Q287" s="480"/>
      <c r="R287" s="183" t="b">
        <v>0</v>
      </c>
      <c r="S287" s="53"/>
      <c r="T287" s="55"/>
      <c r="U287" s="56"/>
      <c r="V287" s="50">
        <f t="shared" si="26"/>
        <v>0</v>
      </c>
      <c r="Y287" s="51">
        <f t="shared" si="29"/>
        <v>0</v>
      </c>
      <c r="Z287" s="51">
        <f t="shared" si="30"/>
        <v>0</v>
      </c>
      <c r="AA287" s="51">
        <f t="shared" si="31"/>
        <v>0</v>
      </c>
      <c r="AB287" s="51" t="str">
        <f t="shared" si="32"/>
        <v/>
      </c>
      <c r="AC287" s="51" t="str">
        <f t="shared" si="32"/>
        <v/>
      </c>
    </row>
    <row r="288" spans="1:29" s="51" customFormat="1" ht="33.75" customHeight="1">
      <c r="A288" s="52">
        <v>267</v>
      </c>
      <c r="B288" s="342"/>
      <c r="C288" s="343"/>
      <c r="D288" s="344"/>
      <c r="E288" s="45"/>
      <c r="F288" s="53"/>
      <c r="G288" s="53"/>
      <c r="H288" s="53"/>
      <c r="I288" s="53"/>
      <c r="J288" s="169"/>
      <c r="K288" s="162"/>
      <c r="L288" s="57">
        <f t="shared" si="28"/>
        <v>0</v>
      </c>
      <c r="M288" s="183" t="b">
        <v>0</v>
      </c>
      <c r="N288" s="478"/>
      <c r="O288" s="479"/>
      <c r="P288" s="479"/>
      <c r="Q288" s="480"/>
      <c r="R288" s="183" t="b">
        <v>0</v>
      </c>
      <c r="S288" s="53"/>
      <c r="T288" s="55"/>
      <c r="U288" s="56"/>
      <c r="V288" s="50">
        <f t="shared" si="26"/>
        <v>0</v>
      </c>
      <c r="Y288" s="51">
        <f t="shared" si="29"/>
        <v>0</v>
      </c>
      <c r="Z288" s="51">
        <f t="shared" si="30"/>
        <v>0</v>
      </c>
      <c r="AA288" s="51">
        <f t="shared" si="31"/>
        <v>0</v>
      </c>
      <c r="AB288" s="51" t="str">
        <f t="shared" si="32"/>
        <v/>
      </c>
      <c r="AC288" s="51" t="str">
        <f t="shared" si="32"/>
        <v/>
      </c>
    </row>
    <row r="289" spans="1:29" s="51" customFormat="1" ht="33.75" customHeight="1">
      <c r="A289" s="52">
        <v>268</v>
      </c>
      <c r="B289" s="342"/>
      <c r="C289" s="343"/>
      <c r="D289" s="344"/>
      <c r="E289" s="45"/>
      <c r="F289" s="53"/>
      <c r="G289" s="53"/>
      <c r="H289" s="53"/>
      <c r="I289" s="53"/>
      <c r="J289" s="169"/>
      <c r="K289" s="162"/>
      <c r="L289" s="57">
        <f t="shared" si="28"/>
        <v>0</v>
      </c>
      <c r="M289" s="183" t="b">
        <v>0</v>
      </c>
      <c r="N289" s="478"/>
      <c r="O289" s="479"/>
      <c r="P289" s="479"/>
      <c r="Q289" s="480"/>
      <c r="R289" s="183" t="b">
        <v>0</v>
      </c>
      <c r="S289" s="53"/>
      <c r="T289" s="55"/>
      <c r="U289" s="56"/>
      <c r="V289" s="50">
        <f t="shared" si="26"/>
        <v>0</v>
      </c>
      <c r="Y289" s="51">
        <f t="shared" si="29"/>
        <v>0</v>
      </c>
      <c r="Z289" s="51">
        <f t="shared" si="30"/>
        <v>0</v>
      </c>
      <c r="AA289" s="51">
        <f t="shared" si="31"/>
        <v>0</v>
      </c>
      <c r="AB289" s="51" t="str">
        <f t="shared" si="32"/>
        <v/>
      </c>
      <c r="AC289" s="51" t="str">
        <f t="shared" si="32"/>
        <v/>
      </c>
    </row>
    <row r="290" spans="1:29" s="51" customFormat="1" ht="33.75" customHeight="1">
      <c r="A290" s="52">
        <v>269</v>
      </c>
      <c r="B290" s="342"/>
      <c r="C290" s="343"/>
      <c r="D290" s="344"/>
      <c r="E290" s="45"/>
      <c r="F290" s="53"/>
      <c r="G290" s="53"/>
      <c r="H290" s="53"/>
      <c r="I290" s="53"/>
      <c r="J290" s="169"/>
      <c r="K290" s="162"/>
      <c r="L290" s="57">
        <f t="shared" si="28"/>
        <v>0</v>
      </c>
      <c r="M290" s="183" t="b">
        <v>0</v>
      </c>
      <c r="N290" s="478"/>
      <c r="O290" s="479"/>
      <c r="P290" s="479"/>
      <c r="Q290" s="480"/>
      <c r="R290" s="183" t="b">
        <v>0</v>
      </c>
      <c r="S290" s="53"/>
      <c r="T290" s="55"/>
      <c r="U290" s="56"/>
      <c r="V290" s="50">
        <f t="shared" si="26"/>
        <v>0</v>
      </c>
      <c r="Y290" s="51">
        <f t="shared" si="29"/>
        <v>0</v>
      </c>
      <c r="Z290" s="51">
        <f t="shared" si="30"/>
        <v>0</v>
      </c>
      <c r="AA290" s="51">
        <f t="shared" si="31"/>
        <v>0</v>
      </c>
      <c r="AB290" s="51" t="str">
        <f t="shared" si="32"/>
        <v/>
      </c>
      <c r="AC290" s="51" t="str">
        <f t="shared" si="32"/>
        <v/>
      </c>
    </row>
    <row r="291" spans="1:29" s="51" customFormat="1" ht="33.75" customHeight="1">
      <c r="A291" s="52">
        <v>270</v>
      </c>
      <c r="B291" s="342"/>
      <c r="C291" s="343"/>
      <c r="D291" s="344"/>
      <c r="E291" s="45"/>
      <c r="F291" s="53"/>
      <c r="G291" s="53"/>
      <c r="H291" s="53"/>
      <c r="I291" s="53"/>
      <c r="J291" s="169"/>
      <c r="K291" s="162"/>
      <c r="L291" s="57">
        <f t="shared" si="28"/>
        <v>0</v>
      </c>
      <c r="M291" s="183" t="b">
        <v>0</v>
      </c>
      <c r="N291" s="478"/>
      <c r="O291" s="479"/>
      <c r="P291" s="479"/>
      <c r="Q291" s="480"/>
      <c r="R291" s="183" t="b">
        <v>0</v>
      </c>
      <c r="S291" s="53"/>
      <c r="T291" s="55"/>
      <c r="U291" s="56"/>
      <c r="V291" s="50">
        <f t="shared" si="26"/>
        <v>0</v>
      </c>
      <c r="Y291" s="51">
        <f t="shared" si="29"/>
        <v>0</v>
      </c>
      <c r="Z291" s="51">
        <f t="shared" si="30"/>
        <v>0</v>
      </c>
      <c r="AA291" s="51">
        <f t="shared" si="31"/>
        <v>0</v>
      </c>
      <c r="AB291" s="51" t="str">
        <f t="shared" si="32"/>
        <v/>
      </c>
      <c r="AC291" s="51" t="str">
        <f t="shared" si="32"/>
        <v/>
      </c>
    </row>
    <row r="292" spans="1:29" s="51" customFormat="1" ht="33.75" customHeight="1">
      <c r="A292" s="52">
        <v>271</v>
      </c>
      <c r="B292" s="342"/>
      <c r="C292" s="343"/>
      <c r="D292" s="344"/>
      <c r="E292" s="45"/>
      <c r="F292" s="53"/>
      <c r="G292" s="53"/>
      <c r="H292" s="53"/>
      <c r="I292" s="53"/>
      <c r="J292" s="169"/>
      <c r="K292" s="162"/>
      <c r="L292" s="57">
        <f t="shared" si="28"/>
        <v>0</v>
      </c>
      <c r="M292" s="183" t="b">
        <v>0</v>
      </c>
      <c r="N292" s="478"/>
      <c r="O292" s="479"/>
      <c r="P292" s="479"/>
      <c r="Q292" s="480"/>
      <c r="R292" s="183" t="b">
        <v>0</v>
      </c>
      <c r="S292" s="53"/>
      <c r="T292" s="55"/>
      <c r="U292" s="56"/>
      <c r="V292" s="50">
        <f t="shared" si="26"/>
        <v>0</v>
      </c>
      <c r="Y292" s="51">
        <f t="shared" si="29"/>
        <v>0</v>
      </c>
      <c r="Z292" s="51">
        <f t="shared" si="30"/>
        <v>0</v>
      </c>
      <c r="AA292" s="51">
        <f t="shared" si="31"/>
        <v>0</v>
      </c>
      <c r="AB292" s="51" t="str">
        <f t="shared" si="32"/>
        <v/>
      </c>
      <c r="AC292" s="51" t="str">
        <f t="shared" si="32"/>
        <v/>
      </c>
    </row>
    <row r="293" spans="1:29" s="51" customFormat="1" ht="33.75" customHeight="1">
      <c r="A293" s="52">
        <v>272</v>
      </c>
      <c r="B293" s="342"/>
      <c r="C293" s="343"/>
      <c r="D293" s="344"/>
      <c r="E293" s="45"/>
      <c r="F293" s="53"/>
      <c r="G293" s="53"/>
      <c r="H293" s="53"/>
      <c r="I293" s="53"/>
      <c r="J293" s="169"/>
      <c r="K293" s="162"/>
      <c r="L293" s="57">
        <f t="shared" si="28"/>
        <v>0</v>
      </c>
      <c r="M293" s="183" t="b">
        <v>0</v>
      </c>
      <c r="N293" s="478"/>
      <c r="O293" s="479"/>
      <c r="P293" s="479"/>
      <c r="Q293" s="480"/>
      <c r="R293" s="183" t="b">
        <v>0</v>
      </c>
      <c r="S293" s="53"/>
      <c r="T293" s="48"/>
      <c r="U293" s="49"/>
      <c r="V293" s="50">
        <f t="shared" si="26"/>
        <v>0</v>
      </c>
      <c r="Y293" s="51">
        <f t="shared" si="29"/>
        <v>0</v>
      </c>
      <c r="Z293" s="51">
        <f t="shared" si="30"/>
        <v>0</v>
      </c>
      <c r="AA293" s="51">
        <f t="shared" si="31"/>
        <v>0</v>
      </c>
      <c r="AB293" s="51" t="str">
        <f t="shared" si="32"/>
        <v/>
      </c>
      <c r="AC293" s="51" t="str">
        <f t="shared" si="32"/>
        <v/>
      </c>
    </row>
    <row r="294" spans="1:29" s="51" customFormat="1" ht="33.75" customHeight="1">
      <c r="A294" s="52">
        <v>273</v>
      </c>
      <c r="B294" s="342"/>
      <c r="C294" s="343"/>
      <c r="D294" s="344"/>
      <c r="E294" s="45"/>
      <c r="F294" s="53"/>
      <c r="G294" s="53"/>
      <c r="H294" s="53"/>
      <c r="I294" s="53"/>
      <c r="J294" s="169"/>
      <c r="K294" s="162"/>
      <c r="L294" s="57">
        <f t="shared" si="28"/>
        <v>0</v>
      </c>
      <c r="M294" s="183" t="b">
        <v>0</v>
      </c>
      <c r="N294" s="478"/>
      <c r="O294" s="479"/>
      <c r="P294" s="479"/>
      <c r="Q294" s="480"/>
      <c r="R294" s="183" t="b">
        <v>0</v>
      </c>
      <c r="S294" s="53"/>
      <c r="T294" s="48"/>
      <c r="U294" s="49"/>
      <c r="V294" s="50">
        <f t="shared" si="26"/>
        <v>0</v>
      </c>
      <c r="Y294" s="51">
        <f t="shared" si="29"/>
        <v>0</v>
      </c>
      <c r="Z294" s="51">
        <f t="shared" si="30"/>
        <v>0</v>
      </c>
      <c r="AA294" s="51">
        <f t="shared" si="31"/>
        <v>0</v>
      </c>
      <c r="AB294" s="51" t="str">
        <f t="shared" si="32"/>
        <v/>
      </c>
      <c r="AC294" s="51" t="str">
        <f t="shared" si="32"/>
        <v/>
      </c>
    </row>
    <row r="295" spans="1:29" s="51" customFormat="1" ht="33.75" customHeight="1">
      <c r="A295" s="52">
        <v>274</v>
      </c>
      <c r="B295" s="342"/>
      <c r="C295" s="343"/>
      <c r="D295" s="344"/>
      <c r="E295" s="45"/>
      <c r="F295" s="53"/>
      <c r="G295" s="53"/>
      <c r="H295" s="53"/>
      <c r="I295" s="53"/>
      <c r="J295" s="169"/>
      <c r="K295" s="162"/>
      <c r="L295" s="57">
        <f t="shared" si="28"/>
        <v>0</v>
      </c>
      <c r="M295" s="183" t="b">
        <v>0</v>
      </c>
      <c r="N295" s="478"/>
      <c r="O295" s="479"/>
      <c r="P295" s="479"/>
      <c r="Q295" s="480"/>
      <c r="R295" s="183" t="b">
        <v>0</v>
      </c>
      <c r="S295" s="53"/>
      <c r="T295" s="48"/>
      <c r="U295" s="49"/>
      <c r="V295" s="50">
        <f t="shared" si="26"/>
        <v>0</v>
      </c>
      <c r="Y295" s="51">
        <f t="shared" si="29"/>
        <v>0</v>
      </c>
      <c r="Z295" s="51">
        <f t="shared" si="30"/>
        <v>0</v>
      </c>
      <c r="AA295" s="51">
        <f t="shared" si="31"/>
        <v>0</v>
      </c>
      <c r="AB295" s="51" t="str">
        <f t="shared" si="32"/>
        <v/>
      </c>
      <c r="AC295" s="51" t="str">
        <f t="shared" si="32"/>
        <v/>
      </c>
    </row>
    <row r="296" spans="1:29" s="51" customFormat="1" ht="33.75" customHeight="1">
      <c r="A296" s="52">
        <v>275</v>
      </c>
      <c r="B296" s="342"/>
      <c r="C296" s="343"/>
      <c r="D296" s="344"/>
      <c r="E296" s="45"/>
      <c r="F296" s="53"/>
      <c r="G296" s="53"/>
      <c r="H296" s="53"/>
      <c r="I296" s="53"/>
      <c r="J296" s="169"/>
      <c r="K296" s="162"/>
      <c r="L296" s="57">
        <f t="shared" si="28"/>
        <v>0</v>
      </c>
      <c r="M296" s="183" t="b">
        <v>0</v>
      </c>
      <c r="N296" s="478"/>
      <c r="O296" s="479"/>
      <c r="P296" s="479"/>
      <c r="Q296" s="480"/>
      <c r="R296" s="183" t="b">
        <v>0</v>
      </c>
      <c r="S296" s="53"/>
      <c r="T296" s="48"/>
      <c r="U296" s="49"/>
      <c r="V296" s="50">
        <f t="shared" si="26"/>
        <v>0</v>
      </c>
      <c r="Y296" s="51">
        <f t="shared" si="29"/>
        <v>0</v>
      </c>
      <c r="Z296" s="51">
        <f t="shared" si="30"/>
        <v>0</v>
      </c>
      <c r="AA296" s="51">
        <f t="shared" si="31"/>
        <v>0</v>
      </c>
      <c r="AB296" s="51" t="str">
        <f t="shared" si="32"/>
        <v/>
      </c>
      <c r="AC296" s="51" t="str">
        <f t="shared" si="32"/>
        <v/>
      </c>
    </row>
    <row r="297" spans="1:29" s="51" customFormat="1" ht="33.75" customHeight="1">
      <c r="A297" s="52">
        <v>276</v>
      </c>
      <c r="B297" s="342"/>
      <c r="C297" s="343"/>
      <c r="D297" s="344"/>
      <c r="E297" s="45"/>
      <c r="F297" s="53"/>
      <c r="G297" s="53"/>
      <c r="H297" s="53"/>
      <c r="I297" s="53"/>
      <c r="J297" s="169"/>
      <c r="K297" s="162"/>
      <c r="L297" s="57">
        <f t="shared" si="28"/>
        <v>0</v>
      </c>
      <c r="M297" s="183" t="b">
        <v>0</v>
      </c>
      <c r="N297" s="478"/>
      <c r="O297" s="479"/>
      <c r="P297" s="479"/>
      <c r="Q297" s="480"/>
      <c r="R297" s="183" t="b">
        <v>0</v>
      </c>
      <c r="S297" s="53"/>
      <c r="T297" s="48"/>
      <c r="U297" s="49"/>
      <c r="V297" s="50">
        <f t="shared" si="26"/>
        <v>0</v>
      </c>
      <c r="Y297" s="51">
        <f t="shared" si="29"/>
        <v>0</v>
      </c>
      <c r="Z297" s="51">
        <f t="shared" si="30"/>
        <v>0</v>
      </c>
      <c r="AA297" s="51">
        <f t="shared" si="31"/>
        <v>0</v>
      </c>
      <c r="AB297" s="51" t="str">
        <f t="shared" si="32"/>
        <v/>
      </c>
      <c r="AC297" s="51" t="str">
        <f t="shared" si="32"/>
        <v/>
      </c>
    </row>
    <row r="298" spans="1:29" s="51" customFormat="1" ht="33.75" customHeight="1">
      <c r="A298" s="52">
        <v>277</v>
      </c>
      <c r="B298" s="342"/>
      <c r="C298" s="343"/>
      <c r="D298" s="344"/>
      <c r="E298" s="45"/>
      <c r="F298" s="53"/>
      <c r="G298" s="53"/>
      <c r="H298" s="53"/>
      <c r="I298" s="53"/>
      <c r="J298" s="169"/>
      <c r="K298" s="162"/>
      <c r="L298" s="57">
        <f t="shared" si="28"/>
        <v>0</v>
      </c>
      <c r="M298" s="183" t="b">
        <v>0</v>
      </c>
      <c r="N298" s="478"/>
      <c r="O298" s="479"/>
      <c r="P298" s="479"/>
      <c r="Q298" s="480"/>
      <c r="R298" s="183" t="b">
        <v>0</v>
      </c>
      <c r="S298" s="53"/>
      <c r="T298" s="48"/>
      <c r="U298" s="49"/>
      <c r="V298" s="50">
        <f t="shared" si="26"/>
        <v>0</v>
      </c>
      <c r="Y298" s="51">
        <f t="shared" si="29"/>
        <v>0</v>
      </c>
      <c r="Z298" s="51">
        <f t="shared" si="30"/>
        <v>0</v>
      </c>
      <c r="AA298" s="51">
        <f t="shared" si="31"/>
        <v>0</v>
      </c>
      <c r="AB298" s="51" t="str">
        <f t="shared" si="32"/>
        <v/>
      </c>
      <c r="AC298" s="51" t="str">
        <f t="shared" si="32"/>
        <v/>
      </c>
    </row>
    <row r="299" spans="1:29" s="51" customFormat="1" ht="33.75" customHeight="1">
      <c r="A299" s="52">
        <v>278</v>
      </c>
      <c r="B299" s="342"/>
      <c r="C299" s="343"/>
      <c r="D299" s="344"/>
      <c r="E299" s="45"/>
      <c r="F299" s="53"/>
      <c r="G299" s="53"/>
      <c r="H299" s="53"/>
      <c r="I299" s="53"/>
      <c r="J299" s="169"/>
      <c r="K299" s="162"/>
      <c r="L299" s="57">
        <f t="shared" si="28"/>
        <v>0</v>
      </c>
      <c r="M299" s="183" t="b">
        <v>0</v>
      </c>
      <c r="N299" s="478"/>
      <c r="O299" s="479"/>
      <c r="P299" s="479"/>
      <c r="Q299" s="480"/>
      <c r="R299" s="183" t="b">
        <v>0</v>
      </c>
      <c r="S299" s="53"/>
      <c r="T299" s="48"/>
      <c r="U299" s="49"/>
      <c r="V299" s="50">
        <f t="shared" si="26"/>
        <v>0</v>
      </c>
      <c r="Y299" s="51">
        <f t="shared" si="29"/>
        <v>0</v>
      </c>
      <c r="Z299" s="51">
        <f t="shared" si="30"/>
        <v>0</v>
      </c>
      <c r="AA299" s="51">
        <f t="shared" si="31"/>
        <v>0</v>
      </c>
      <c r="AB299" s="51" t="str">
        <f t="shared" si="32"/>
        <v/>
      </c>
      <c r="AC299" s="51" t="str">
        <f t="shared" si="32"/>
        <v/>
      </c>
    </row>
    <row r="300" spans="1:29" s="51" customFormat="1" ht="33.75" customHeight="1">
      <c r="A300" s="52">
        <v>279</v>
      </c>
      <c r="B300" s="342"/>
      <c r="C300" s="343"/>
      <c r="D300" s="344"/>
      <c r="E300" s="45"/>
      <c r="F300" s="53"/>
      <c r="G300" s="53"/>
      <c r="H300" s="53"/>
      <c r="I300" s="53"/>
      <c r="J300" s="169"/>
      <c r="K300" s="162"/>
      <c r="L300" s="57">
        <f t="shared" si="28"/>
        <v>0</v>
      </c>
      <c r="M300" s="183" t="b">
        <v>0</v>
      </c>
      <c r="N300" s="478"/>
      <c r="O300" s="479"/>
      <c r="P300" s="479"/>
      <c r="Q300" s="480"/>
      <c r="R300" s="183" t="b">
        <v>0</v>
      </c>
      <c r="S300" s="53"/>
      <c r="T300" s="48"/>
      <c r="U300" s="49"/>
      <c r="V300" s="50">
        <f t="shared" si="26"/>
        <v>0</v>
      </c>
      <c r="Y300" s="51">
        <f t="shared" si="29"/>
        <v>0</v>
      </c>
      <c r="Z300" s="51">
        <f t="shared" si="30"/>
        <v>0</v>
      </c>
      <c r="AA300" s="51">
        <f t="shared" si="31"/>
        <v>0</v>
      </c>
      <c r="AB300" s="51" t="str">
        <f t="shared" si="32"/>
        <v/>
      </c>
      <c r="AC300" s="51" t="str">
        <f t="shared" si="32"/>
        <v/>
      </c>
    </row>
    <row r="301" spans="1:29" s="51" customFormat="1" ht="33.75" customHeight="1">
      <c r="A301" s="52">
        <v>280</v>
      </c>
      <c r="B301" s="342"/>
      <c r="C301" s="343"/>
      <c r="D301" s="344"/>
      <c r="E301" s="45"/>
      <c r="F301" s="53"/>
      <c r="G301" s="53"/>
      <c r="H301" s="53"/>
      <c r="I301" s="53"/>
      <c r="J301" s="169"/>
      <c r="K301" s="162"/>
      <c r="L301" s="57"/>
      <c r="M301" s="183" t="b">
        <v>0</v>
      </c>
      <c r="N301" s="342"/>
      <c r="O301" s="343"/>
      <c r="P301" s="343"/>
      <c r="Q301" s="344"/>
      <c r="R301" s="183" t="b">
        <v>0</v>
      </c>
      <c r="S301" s="53"/>
      <c r="T301" s="48"/>
      <c r="U301" s="49"/>
      <c r="V301" s="50"/>
      <c r="Y301" s="51">
        <f t="shared" si="29"/>
        <v>0</v>
      </c>
      <c r="Z301" s="51">
        <f t="shared" si="30"/>
        <v>0</v>
      </c>
      <c r="AA301" s="51">
        <f t="shared" si="31"/>
        <v>0</v>
      </c>
      <c r="AB301" s="51" t="str">
        <f t="shared" si="32"/>
        <v/>
      </c>
      <c r="AC301" s="51" t="str">
        <f t="shared" si="32"/>
        <v/>
      </c>
    </row>
    <row r="302" spans="1:29" s="51" customFormat="1" ht="33.75" customHeight="1">
      <c r="A302" s="52">
        <v>281</v>
      </c>
      <c r="B302" s="342"/>
      <c r="C302" s="343"/>
      <c r="D302" s="344"/>
      <c r="E302" s="45"/>
      <c r="F302" s="53"/>
      <c r="G302" s="53"/>
      <c r="H302" s="53"/>
      <c r="I302" s="53"/>
      <c r="J302" s="169"/>
      <c r="K302" s="162"/>
      <c r="L302" s="57"/>
      <c r="M302" s="183" t="b">
        <v>0</v>
      </c>
      <c r="N302" s="342"/>
      <c r="O302" s="343"/>
      <c r="P302" s="343"/>
      <c r="Q302" s="344"/>
      <c r="R302" s="183" t="b">
        <v>0</v>
      </c>
      <c r="S302" s="53"/>
      <c r="T302" s="48"/>
      <c r="U302" s="49"/>
      <c r="V302" s="50"/>
      <c r="Y302" s="51">
        <f t="shared" si="29"/>
        <v>0</v>
      </c>
      <c r="Z302" s="51">
        <f t="shared" si="30"/>
        <v>0</v>
      </c>
      <c r="AA302" s="51">
        <f t="shared" si="31"/>
        <v>0</v>
      </c>
      <c r="AB302" s="51" t="str">
        <f t="shared" si="32"/>
        <v/>
      </c>
      <c r="AC302" s="51" t="str">
        <f t="shared" si="32"/>
        <v/>
      </c>
    </row>
    <row r="303" spans="1:29" s="51" customFormat="1" ht="33.75" customHeight="1">
      <c r="A303" s="52">
        <v>282</v>
      </c>
      <c r="B303" s="342"/>
      <c r="C303" s="343"/>
      <c r="D303" s="344"/>
      <c r="E303" s="45"/>
      <c r="F303" s="53"/>
      <c r="G303" s="53"/>
      <c r="H303" s="53"/>
      <c r="I303" s="53"/>
      <c r="J303" s="169"/>
      <c r="K303" s="162"/>
      <c r="L303" s="57"/>
      <c r="M303" s="183" t="b">
        <v>0</v>
      </c>
      <c r="N303" s="342"/>
      <c r="O303" s="343"/>
      <c r="P303" s="343"/>
      <c r="Q303" s="344"/>
      <c r="R303" s="183" t="b">
        <v>0</v>
      </c>
      <c r="S303" s="53"/>
      <c r="T303" s="48"/>
      <c r="U303" s="49"/>
      <c r="V303" s="50"/>
      <c r="Y303" s="51">
        <f t="shared" si="29"/>
        <v>0</v>
      </c>
      <c r="Z303" s="51">
        <f t="shared" si="30"/>
        <v>0</v>
      </c>
      <c r="AA303" s="51">
        <f t="shared" si="31"/>
        <v>0</v>
      </c>
      <c r="AB303" s="51" t="str">
        <f t="shared" si="32"/>
        <v/>
      </c>
      <c r="AC303" s="51" t="str">
        <f t="shared" si="32"/>
        <v/>
      </c>
    </row>
    <row r="304" spans="1:29" s="51" customFormat="1" ht="33.75" customHeight="1">
      <c r="A304" s="52">
        <v>283</v>
      </c>
      <c r="B304" s="342"/>
      <c r="C304" s="343"/>
      <c r="D304" s="344"/>
      <c r="E304" s="45"/>
      <c r="F304" s="53"/>
      <c r="G304" s="53"/>
      <c r="H304" s="53"/>
      <c r="I304" s="53"/>
      <c r="J304" s="169"/>
      <c r="K304" s="162"/>
      <c r="L304" s="57"/>
      <c r="M304" s="183" t="b">
        <v>0</v>
      </c>
      <c r="N304" s="342"/>
      <c r="O304" s="343"/>
      <c r="P304" s="343"/>
      <c r="Q304" s="344"/>
      <c r="R304" s="183" t="b">
        <v>0</v>
      </c>
      <c r="S304" s="53"/>
      <c r="T304" s="48"/>
      <c r="U304" s="49"/>
      <c r="V304" s="50"/>
      <c r="Y304" s="51">
        <f t="shared" si="29"/>
        <v>0</v>
      </c>
      <c r="Z304" s="51">
        <f t="shared" si="30"/>
        <v>0</v>
      </c>
      <c r="AA304" s="51">
        <f t="shared" si="31"/>
        <v>0</v>
      </c>
      <c r="AB304" s="51" t="str">
        <f t="shared" si="32"/>
        <v/>
      </c>
      <c r="AC304" s="51" t="str">
        <f t="shared" si="32"/>
        <v/>
      </c>
    </row>
    <row r="305" spans="1:29" s="51" customFormat="1" ht="33.75" customHeight="1">
      <c r="A305" s="52">
        <v>284</v>
      </c>
      <c r="B305" s="342"/>
      <c r="C305" s="343"/>
      <c r="D305" s="344"/>
      <c r="E305" s="45"/>
      <c r="F305" s="53"/>
      <c r="G305" s="53"/>
      <c r="H305" s="53"/>
      <c r="I305" s="53"/>
      <c r="J305" s="169"/>
      <c r="K305" s="162"/>
      <c r="L305" s="57"/>
      <c r="M305" s="183" t="b">
        <v>0</v>
      </c>
      <c r="N305" s="342"/>
      <c r="O305" s="343"/>
      <c r="P305" s="343"/>
      <c r="Q305" s="344"/>
      <c r="R305" s="183" t="b">
        <v>0</v>
      </c>
      <c r="S305" s="53"/>
      <c r="T305" s="48"/>
      <c r="U305" s="49"/>
      <c r="V305" s="50"/>
      <c r="Y305" s="51">
        <f t="shared" si="29"/>
        <v>0</v>
      </c>
      <c r="Z305" s="51">
        <f t="shared" si="30"/>
        <v>0</v>
      </c>
      <c r="AA305" s="51">
        <f t="shared" si="31"/>
        <v>0</v>
      </c>
      <c r="AB305" s="51" t="str">
        <f t="shared" si="32"/>
        <v/>
      </c>
      <c r="AC305" s="51" t="str">
        <f t="shared" si="32"/>
        <v/>
      </c>
    </row>
    <row r="306" spans="1:29" s="51" customFormat="1" ht="33.75" customHeight="1">
      <c r="A306" s="52">
        <v>285</v>
      </c>
      <c r="B306" s="342"/>
      <c r="C306" s="343"/>
      <c r="D306" s="344"/>
      <c r="E306" s="45"/>
      <c r="F306" s="53"/>
      <c r="G306" s="53"/>
      <c r="H306" s="53"/>
      <c r="I306" s="53"/>
      <c r="J306" s="169"/>
      <c r="K306" s="162"/>
      <c r="L306" s="57"/>
      <c r="M306" s="183" t="b">
        <v>0</v>
      </c>
      <c r="N306" s="342"/>
      <c r="O306" s="343"/>
      <c r="P306" s="343"/>
      <c r="Q306" s="344"/>
      <c r="R306" s="183" t="b">
        <v>0</v>
      </c>
      <c r="S306" s="53"/>
      <c r="T306" s="48"/>
      <c r="U306" s="49"/>
      <c r="V306" s="50"/>
      <c r="Y306" s="51">
        <f t="shared" si="29"/>
        <v>0</v>
      </c>
      <c r="Z306" s="51">
        <f t="shared" si="30"/>
        <v>0</v>
      </c>
      <c r="AA306" s="51">
        <f t="shared" si="31"/>
        <v>0</v>
      </c>
      <c r="AB306" s="51" t="str">
        <f t="shared" si="32"/>
        <v/>
      </c>
      <c r="AC306" s="51" t="str">
        <f t="shared" si="32"/>
        <v/>
      </c>
    </row>
    <row r="307" spans="1:29" s="51" customFormat="1" ht="33.75" customHeight="1">
      <c r="A307" s="52">
        <v>286</v>
      </c>
      <c r="B307" s="342"/>
      <c r="C307" s="343"/>
      <c r="D307" s="344"/>
      <c r="E307" s="45"/>
      <c r="F307" s="53"/>
      <c r="G307" s="53"/>
      <c r="H307" s="53"/>
      <c r="I307" s="53"/>
      <c r="J307" s="169"/>
      <c r="K307" s="162"/>
      <c r="L307" s="57"/>
      <c r="M307" s="183" t="b">
        <v>0</v>
      </c>
      <c r="N307" s="342"/>
      <c r="O307" s="343"/>
      <c r="P307" s="343"/>
      <c r="Q307" s="344"/>
      <c r="R307" s="183" t="b">
        <v>0</v>
      </c>
      <c r="S307" s="53"/>
      <c r="T307" s="48"/>
      <c r="U307" s="49"/>
      <c r="V307" s="50"/>
      <c r="Y307" s="51">
        <f t="shared" si="29"/>
        <v>0</v>
      </c>
      <c r="Z307" s="51">
        <f t="shared" si="30"/>
        <v>0</v>
      </c>
      <c r="AA307" s="51">
        <f t="shared" si="31"/>
        <v>0</v>
      </c>
      <c r="AB307" s="51" t="str">
        <f t="shared" si="32"/>
        <v/>
      </c>
      <c r="AC307" s="51" t="str">
        <f t="shared" si="32"/>
        <v/>
      </c>
    </row>
    <row r="308" spans="1:29" s="51" customFormat="1" ht="33.75" customHeight="1">
      <c r="A308" s="52">
        <v>287</v>
      </c>
      <c r="B308" s="342"/>
      <c r="C308" s="343"/>
      <c r="D308" s="344"/>
      <c r="E308" s="45"/>
      <c r="F308" s="53"/>
      <c r="G308" s="53"/>
      <c r="H308" s="53"/>
      <c r="I308" s="53"/>
      <c r="J308" s="169"/>
      <c r="K308" s="162"/>
      <c r="L308" s="57"/>
      <c r="M308" s="183" t="b">
        <v>0</v>
      </c>
      <c r="N308" s="342"/>
      <c r="O308" s="343"/>
      <c r="P308" s="343"/>
      <c r="Q308" s="344"/>
      <c r="R308" s="183" t="b">
        <v>0</v>
      </c>
      <c r="S308" s="53"/>
      <c r="T308" s="48"/>
      <c r="U308" s="49"/>
      <c r="V308" s="50"/>
      <c r="Y308" s="51">
        <f t="shared" si="29"/>
        <v>0</v>
      </c>
      <c r="Z308" s="51">
        <f t="shared" si="30"/>
        <v>0</v>
      </c>
      <c r="AA308" s="51">
        <f t="shared" si="31"/>
        <v>0</v>
      </c>
      <c r="AB308" s="51" t="str">
        <f t="shared" si="32"/>
        <v/>
      </c>
      <c r="AC308" s="51" t="str">
        <f t="shared" si="32"/>
        <v/>
      </c>
    </row>
    <row r="309" spans="1:29" s="51" customFormat="1" ht="33.75" customHeight="1">
      <c r="A309" s="52">
        <v>288</v>
      </c>
      <c r="B309" s="342"/>
      <c r="C309" s="343"/>
      <c r="D309" s="344"/>
      <c r="E309" s="45"/>
      <c r="F309" s="53"/>
      <c r="G309" s="53"/>
      <c r="H309" s="53"/>
      <c r="I309" s="53"/>
      <c r="J309" s="169"/>
      <c r="K309" s="162"/>
      <c r="L309" s="57"/>
      <c r="M309" s="183" t="b">
        <v>0</v>
      </c>
      <c r="N309" s="342"/>
      <c r="O309" s="343"/>
      <c r="P309" s="343"/>
      <c r="Q309" s="344"/>
      <c r="R309" s="183" t="b">
        <v>0</v>
      </c>
      <c r="S309" s="53"/>
      <c r="T309" s="48"/>
      <c r="U309" s="49"/>
      <c r="V309" s="50"/>
      <c r="Y309" s="51">
        <f t="shared" si="29"/>
        <v>0</v>
      </c>
      <c r="Z309" s="51">
        <f t="shared" si="30"/>
        <v>0</v>
      </c>
      <c r="AA309" s="51">
        <f t="shared" si="31"/>
        <v>0</v>
      </c>
      <c r="AB309" s="51" t="str">
        <f t="shared" si="32"/>
        <v/>
      </c>
      <c r="AC309" s="51" t="str">
        <f t="shared" si="32"/>
        <v/>
      </c>
    </row>
    <row r="310" spans="1:29" s="51" customFormat="1" ht="33.75" customHeight="1">
      <c r="A310" s="52">
        <v>289</v>
      </c>
      <c r="B310" s="342"/>
      <c r="C310" s="343"/>
      <c r="D310" s="344"/>
      <c r="E310" s="45"/>
      <c r="F310" s="53"/>
      <c r="G310" s="53"/>
      <c r="H310" s="53"/>
      <c r="I310" s="53"/>
      <c r="J310" s="169"/>
      <c r="K310" s="162"/>
      <c r="L310" s="57"/>
      <c r="M310" s="183" t="b">
        <v>0</v>
      </c>
      <c r="N310" s="342"/>
      <c r="O310" s="343"/>
      <c r="P310" s="343"/>
      <c r="Q310" s="344"/>
      <c r="R310" s="183" t="b">
        <v>0</v>
      </c>
      <c r="S310" s="53"/>
      <c r="T310" s="48"/>
      <c r="U310" s="49"/>
      <c r="V310" s="50"/>
      <c r="Y310" s="51">
        <f t="shared" si="29"/>
        <v>0</v>
      </c>
      <c r="Z310" s="51">
        <f t="shared" si="30"/>
        <v>0</v>
      </c>
      <c r="AA310" s="51">
        <f t="shared" si="31"/>
        <v>0</v>
      </c>
      <c r="AB310" s="51" t="str">
        <f t="shared" si="32"/>
        <v/>
      </c>
      <c r="AC310" s="51" t="str">
        <f t="shared" si="32"/>
        <v/>
      </c>
    </row>
    <row r="311" spans="1:29" s="51" customFormat="1" ht="33.75" customHeight="1">
      <c r="A311" s="52">
        <v>290</v>
      </c>
      <c r="B311" s="342"/>
      <c r="C311" s="343"/>
      <c r="D311" s="344"/>
      <c r="E311" s="45"/>
      <c r="F311" s="53"/>
      <c r="G311" s="53"/>
      <c r="H311" s="53"/>
      <c r="I311" s="53"/>
      <c r="J311" s="169"/>
      <c r="K311" s="162"/>
      <c r="L311" s="57"/>
      <c r="M311" s="183" t="b">
        <v>0</v>
      </c>
      <c r="N311" s="342"/>
      <c r="O311" s="343"/>
      <c r="P311" s="343"/>
      <c r="Q311" s="344"/>
      <c r="R311" s="183" t="b">
        <v>0</v>
      </c>
      <c r="S311" s="53"/>
      <c r="T311" s="48"/>
      <c r="U311" s="49"/>
      <c r="V311" s="50"/>
      <c r="Y311" s="51">
        <f t="shared" si="29"/>
        <v>0</v>
      </c>
      <c r="Z311" s="51">
        <f t="shared" si="30"/>
        <v>0</v>
      </c>
      <c r="AA311" s="51">
        <f t="shared" si="31"/>
        <v>0</v>
      </c>
      <c r="AB311" s="51" t="str">
        <f t="shared" si="32"/>
        <v/>
      </c>
      <c r="AC311" s="51" t="str">
        <f t="shared" si="32"/>
        <v/>
      </c>
    </row>
    <row r="312" spans="1:29" s="51" customFormat="1" ht="33.75" customHeight="1">
      <c r="A312" s="52">
        <v>291</v>
      </c>
      <c r="B312" s="342"/>
      <c r="C312" s="343"/>
      <c r="D312" s="344"/>
      <c r="E312" s="45"/>
      <c r="F312" s="53"/>
      <c r="G312" s="53"/>
      <c r="H312" s="53"/>
      <c r="I312" s="53"/>
      <c r="J312" s="169"/>
      <c r="K312" s="162"/>
      <c r="L312" s="57"/>
      <c r="M312" s="183" t="b">
        <v>0</v>
      </c>
      <c r="N312" s="342"/>
      <c r="O312" s="343"/>
      <c r="P312" s="343"/>
      <c r="Q312" s="344"/>
      <c r="R312" s="183" t="b">
        <v>0</v>
      </c>
      <c r="S312" s="53"/>
      <c r="T312" s="48"/>
      <c r="U312" s="49"/>
      <c r="V312" s="50"/>
      <c r="Y312" s="51">
        <f t="shared" si="29"/>
        <v>0</v>
      </c>
      <c r="Z312" s="51">
        <f t="shared" si="30"/>
        <v>0</v>
      </c>
      <c r="AA312" s="51">
        <f t="shared" si="31"/>
        <v>0</v>
      </c>
      <c r="AB312" s="51" t="str">
        <f t="shared" si="32"/>
        <v/>
      </c>
      <c r="AC312" s="51" t="str">
        <f t="shared" si="32"/>
        <v/>
      </c>
    </row>
    <row r="313" spans="1:29" s="51" customFormat="1" ht="33.75" customHeight="1">
      <c r="A313" s="52">
        <v>292</v>
      </c>
      <c r="B313" s="342"/>
      <c r="C313" s="343"/>
      <c r="D313" s="344"/>
      <c r="E313" s="45"/>
      <c r="F313" s="53"/>
      <c r="G313" s="53"/>
      <c r="H313" s="53"/>
      <c r="I313" s="53"/>
      <c r="J313" s="169"/>
      <c r="K313" s="162"/>
      <c r="L313" s="57"/>
      <c r="M313" s="183" t="b">
        <v>0</v>
      </c>
      <c r="N313" s="342"/>
      <c r="O313" s="343"/>
      <c r="P313" s="343"/>
      <c r="Q313" s="344"/>
      <c r="R313" s="183" t="b">
        <v>0</v>
      </c>
      <c r="S313" s="53"/>
      <c r="T313" s="48"/>
      <c r="U313" s="49"/>
      <c r="V313" s="50"/>
      <c r="Y313" s="51">
        <f t="shared" si="29"/>
        <v>0</v>
      </c>
      <c r="Z313" s="51">
        <f t="shared" si="30"/>
        <v>0</v>
      </c>
      <c r="AA313" s="51">
        <f t="shared" si="31"/>
        <v>0</v>
      </c>
      <c r="AB313" s="51" t="str">
        <f t="shared" si="32"/>
        <v/>
      </c>
      <c r="AC313" s="51" t="str">
        <f t="shared" si="32"/>
        <v/>
      </c>
    </row>
    <row r="314" spans="1:29" s="51" customFormat="1" ht="33.75" customHeight="1">
      <c r="A314" s="52">
        <v>293</v>
      </c>
      <c r="B314" s="342"/>
      <c r="C314" s="343"/>
      <c r="D314" s="344"/>
      <c r="E314" s="45"/>
      <c r="F314" s="53"/>
      <c r="G314" s="53"/>
      <c r="H314" s="53"/>
      <c r="I314" s="53"/>
      <c r="J314" s="169"/>
      <c r="K314" s="162"/>
      <c r="L314" s="57"/>
      <c r="M314" s="183" t="b">
        <v>0</v>
      </c>
      <c r="N314" s="342"/>
      <c r="O314" s="343"/>
      <c r="P314" s="343"/>
      <c r="Q314" s="344"/>
      <c r="R314" s="183" t="b">
        <v>0</v>
      </c>
      <c r="S314" s="53"/>
      <c r="T314" s="48"/>
      <c r="U314" s="49"/>
      <c r="V314" s="50"/>
      <c r="Y314" s="51">
        <f t="shared" si="29"/>
        <v>0</v>
      </c>
      <c r="Z314" s="51">
        <f t="shared" si="30"/>
        <v>0</v>
      </c>
      <c r="AA314" s="51">
        <f t="shared" si="31"/>
        <v>0</v>
      </c>
      <c r="AB314" s="51" t="str">
        <f t="shared" si="32"/>
        <v/>
      </c>
      <c r="AC314" s="51" t="str">
        <f t="shared" si="32"/>
        <v/>
      </c>
    </row>
    <row r="315" spans="1:29" s="51" customFormat="1" ht="33.75" customHeight="1">
      <c r="A315" s="52">
        <v>294</v>
      </c>
      <c r="B315" s="342"/>
      <c r="C315" s="343"/>
      <c r="D315" s="344"/>
      <c r="E315" s="45"/>
      <c r="F315" s="53"/>
      <c r="G315" s="53"/>
      <c r="H315" s="53"/>
      <c r="I315" s="53"/>
      <c r="J315" s="169"/>
      <c r="K315" s="162"/>
      <c r="L315" s="57"/>
      <c r="M315" s="183" t="b">
        <v>0</v>
      </c>
      <c r="N315" s="342"/>
      <c r="O315" s="343"/>
      <c r="P315" s="343"/>
      <c r="Q315" s="344"/>
      <c r="R315" s="183" t="b">
        <v>0</v>
      </c>
      <c r="S315" s="53"/>
      <c r="T315" s="48"/>
      <c r="U315" s="49"/>
      <c r="V315" s="50"/>
      <c r="Y315" s="51">
        <f t="shared" si="29"/>
        <v>0</v>
      </c>
      <c r="Z315" s="51">
        <f t="shared" si="30"/>
        <v>0</v>
      </c>
      <c r="AA315" s="51">
        <f t="shared" si="31"/>
        <v>0</v>
      </c>
      <c r="AB315" s="51" t="str">
        <f t="shared" si="32"/>
        <v/>
      </c>
      <c r="AC315" s="51" t="str">
        <f t="shared" si="32"/>
        <v/>
      </c>
    </row>
    <row r="316" spans="1:29" s="51" customFormat="1" ht="33.75" customHeight="1">
      <c r="A316" s="52">
        <v>295</v>
      </c>
      <c r="B316" s="342"/>
      <c r="C316" s="343"/>
      <c r="D316" s="344"/>
      <c r="E316" s="45"/>
      <c r="F316" s="53"/>
      <c r="G316" s="53"/>
      <c r="H316" s="53"/>
      <c r="I316" s="53"/>
      <c r="J316" s="169"/>
      <c r="K316" s="162"/>
      <c r="L316" s="57"/>
      <c r="M316" s="183" t="b">
        <v>0</v>
      </c>
      <c r="N316" s="342"/>
      <c r="O316" s="343"/>
      <c r="P316" s="343"/>
      <c r="Q316" s="344"/>
      <c r="R316" s="183" t="b">
        <v>0</v>
      </c>
      <c r="S316" s="53"/>
      <c r="T316" s="48"/>
      <c r="U316" s="49"/>
      <c r="V316" s="50"/>
      <c r="Y316" s="51">
        <f t="shared" si="29"/>
        <v>0</v>
      </c>
      <c r="Z316" s="51">
        <f t="shared" si="30"/>
        <v>0</v>
      </c>
      <c r="AA316" s="51">
        <f t="shared" si="31"/>
        <v>0</v>
      </c>
      <c r="AB316" s="51" t="str">
        <f t="shared" si="32"/>
        <v/>
      </c>
      <c r="AC316" s="51" t="str">
        <f t="shared" si="32"/>
        <v/>
      </c>
    </row>
    <row r="317" spans="1:29" s="51" customFormat="1" ht="33.75" customHeight="1">
      <c r="A317" s="52">
        <v>296</v>
      </c>
      <c r="B317" s="342"/>
      <c r="C317" s="343"/>
      <c r="D317" s="344"/>
      <c r="E317" s="45"/>
      <c r="F317" s="53"/>
      <c r="G317" s="53"/>
      <c r="H317" s="53"/>
      <c r="I317" s="53"/>
      <c r="J317" s="169"/>
      <c r="K317" s="162"/>
      <c r="L317" s="57"/>
      <c r="M317" s="183" t="b">
        <v>0</v>
      </c>
      <c r="N317" s="342"/>
      <c r="O317" s="343"/>
      <c r="P317" s="343"/>
      <c r="Q317" s="344"/>
      <c r="R317" s="183" t="b">
        <v>0</v>
      </c>
      <c r="S317" s="53"/>
      <c r="T317" s="48"/>
      <c r="U317" s="49"/>
      <c r="V317" s="50"/>
      <c r="Y317" s="51">
        <f t="shared" si="29"/>
        <v>0</v>
      </c>
      <c r="Z317" s="51">
        <f t="shared" si="30"/>
        <v>0</v>
      </c>
      <c r="AA317" s="51">
        <f t="shared" si="31"/>
        <v>0</v>
      </c>
      <c r="AB317" s="51" t="str">
        <f t="shared" si="32"/>
        <v/>
      </c>
      <c r="AC317" s="51" t="str">
        <f t="shared" si="32"/>
        <v/>
      </c>
    </row>
    <row r="318" spans="1:29" s="51" customFormat="1" ht="33.75" customHeight="1">
      <c r="A318" s="52">
        <v>297</v>
      </c>
      <c r="B318" s="342"/>
      <c r="C318" s="343"/>
      <c r="D318" s="344"/>
      <c r="E318" s="45"/>
      <c r="F318" s="53"/>
      <c r="G318" s="53"/>
      <c r="H318" s="53"/>
      <c r="I318" s="53"/>
      <c r="J318" s="169"/>
      <c r="K318" s="162"/>
      <c r="L318" s="57"/>
      <c r="M318" s="183" t="b">
        <v>0</v>
      </c>
      <c r="N318" s="342"/>
      <c r="O318" s="343"/>
      <c r="P318" s="343"/>
      <c r="Q318" s="344"/>
      <c r="R318" s="183" t="b">
        <v>0</v>
      </c>
      <c r="S318" s="53"/>
      <c r="T318" s="48"/>
      <c r="U318" s="49"/>
      <c r="V318" s="50"/>
      <c r="Y318" s="51">
        <f t="shared" si="29"/>
        <v>0</v>
      </c>
      <c r="Z318" s="51">
        <f t="shared" si="30"/>
        <v>0</v>
      </c>
      <c r="AA318" s="51">
        <f t="shared" si="31"/>
        <v>0</v>
      </c>
      <c r="AB318" s="51" t="str">
        <f t="shared" si="32"/>
        <v/>
      </c>
      <c r="AC318" s="51" t="str">
        <f t="shared" si="32"/>
        <v/>
      </c>
    </row>
    <row r="319" spans="1:29" s="51" customFormat="1" ht="33.75" customHeight="1">
      <c r="A319" s="52">
        <v>298</v>
      </c>
      <c r="B319" s="342"/>
      <c r="C319" s="343"/>
      <c r="D319" s="344"/>
      <c r="E319" s="45"/>
      <c r="F319" s="53"/>
      <c r="G319" s="53"/>
      <c r="H319" s="53"/>
      <c r="I319" s="53"/>
      <c r="J319" s="169"/>
      <c r="K319" s="162"/>
      <c r="L319" s="57"/>
      <c r="M319" s="183" t="b">
        <v>0</v>
      </c>
      <c r="N319" s="342"/>
      <c r="O319" s="343"/>
      <c r="P319" s="343"/>
      <c r="Q319" s="344"/>
      <c r="R319" s="183" t="b">
        <v>0</v>
      </c>
      <c r="S319" s="53"/>
      <c r="T319" s="48"/>
      <c r="U319" s="49"/>
      <c r="V319" s="50"/>
      <c r="Y319" s="51">
        <f t="shared" si="29"/>
        <v>0</v>
      </c>
      <c r="Z319" s="51">
        <f t="shared" si="30"/>
        <v>0</v>
      </c>
      <c r="AA319" s="51">
        <f t="shared" si="31"/>
        <v>0</v>
      </c>
      <c r="AB319" s="51" t="str">
        <f t="shared" si="32"/>
        <v/>
      </c>
      <c r="AC319" s="51" t="str">
        <f t="shared" si="32"/>
        <v/>
      </c>
    </row>
    <row r="320" spans="1:29" s="51" customFormat="1" ht="33.75" customHeight="1">
      <c r="A320" s="52">
        <v>299</v>
      </c>
      <c r="B320" s="342"/>
      <c r="C320" s="343"/>
      <c r="D320" s="344"/>
      <c r="E320" s="45"/>
      <c r="F320" s="53"/>
      <c r="G320" s="53"/>
      <c r="H320" s="53"/>
      <c r="I320" s="53"/>
      <c r="J320" s="169"/>
      <c r="K320" s="162"/>
      <c r="L320" s="57"/>
      <c r="M320" s="183" t="b">
        <v>0</v>
      </c>
      <c r="N320" s="342"/>
      <c r="O320" s="343"/>
      <c r="P320" s="343"/>
      <c r="Q320" s="344"/>
      <c r="R320" s="183" t="b">
        <v>0</v>
      </c>
      <c r="S320" s="53"/>
      <c r="T320" s="48"/>
      <c r="U320" s="49"/>
      <c r="V320" s="50"/>
      <c r="Y320" s="51">
        <f t="shared" si="29"/>
        <v>0</v>
      </c>
      <c r="Z320" s="51">
        <f t="shared" si="30"/>
        <v>0</v>
      </c>
      <c r="AA320" s="51">
        <f t="shared" si="31"/>
        <v>0</v>
      </c>
      <c r="AB320" s="51" t="str">
        <f t="shared" si="32"/>
        <v/>
      </c>
      <c r="AC320" s="51" t="str">
        <f t="shared" si="32"/>
        <v/>
      </c>
    </row>
    <row r="321" spans="1:29" s="51" customFormat="1" ht="33.75" customHeight="1">
      <c r="A321" s="52">
        <v>300</v>
      </c>
      <c r="B321" s="342"/>
      <c r="C321" s="343"/>
      <c r="D321" s="344"/>
      <c r="E321" s="45"/>
      <c r="F321" s="53"/>
      <c r="G321" s="53"/>
      <c r="H321" s="53"/>
      <c r="I321" s="53"/>
      <c r="J321" s="169"/>
      <c r="K321" s="162"/>
      <c r="L321" s="57"/>
      <c r="M321" s="183" t="b">
        <v>0</v>
      </c>
      <c r="N321" s="342"/>
      <c r="O321" s="343"/>
      <c r="P321" s="343"/>
      <c r="Q321" s="344"/>
      <c r="R321" s="183" t="b">
        <v>0</v>
      </c>
      <c r="S321" s="53"/>
      <c r="T321" s="48"/>
      <c r="U321" s="49"/>
      <c r="V321" s="50"/>
      <c r="Y321" s="51">
        <f t="shared" si="29"/>
        <v>0</v>
      </c>
      <c r="Z321" s="51">
        <f t="shared" si="30"/>
        <v>0</v>
      </c>
      <c r="AA321" s="51">
        <f t="shared" si="31"/>
        <v>0</v>
      </c>
      <c r="AB321" s="51" t="str">
        <f t="shared" si="32"/>
        <v/>
      </c>
      <c r="AC321" s="51" t="str">
        <f t="shared" si="32"/>
        <v/>
      </c>
    </row>
    <row r="322" spans="1:29" s="51" customFormat="1" ht="33.75" customHeight="1">
      <c r="A322" s="52">
        <v>301</v>
      </c>
      <c r="B322" s="342"/>
      <c r="C322" s="343"/>
      <c r="D322" s="344"/>
      <c r="E322" s="45"/>
      <c r="F322" s="53"/>
      <c r="G322" s="53"/>
      <c r="H322" s="53"/>
      <c r="I322" s="53"/>
      <c r="J322" s="169"/>
      <c r="K322" s="162"/>
      <c r="L322" s="57"/>
      <c r="M322" s="183" t="b">
        <v>0</v>
      </c>
      <c r="N322" s="342"/>
      <c r="O322" s="343"/>
      <c r="P322" s="343"/>
      <c r="Q322" s="344"/>
      <c r="R322" s="183" t="b">
        <v>0</v>
      </c>
      <c r="S322" s="53"/>
      <c r="T322" s="48"/>
      <c r="U322" s="49"/>
      <c r="V322" s="50"/>
      <c r="Y322" s="51">
        <f t="shared" si="29"/>
        <v>0</v>
      </c>
      <c r="Z322" s="51">
        <f t="shared" si="30"/>
        <v>0</v>
      </c>
      <c r="AA322" s="51">
        <f t="shared" si="31"/>
        <v>0</v>
      </c>
      <c r="AB322" s="51" t="str">
        <f t="shared" si="32"/>
        <v/>
      </c>
      <c r="AC322" s="51" t="str">
        <f t="shared" si="32"/>
        <v/>
      </c>
    </row>
    <row r="323" spans="1:29" s="51" customFormat="1" ht="33.75" customHeight="1">
      <c r="A323" s="52">
        <v>302</v>
      </c>
      <c r="B323" s="342"/>
      <c r="C323" s="343"/>
      <c r="D323" s="344"/>
      <c r="E323" s="45"/>
      <c r="F323" s="53"/>
      <c r="G323" s="53"/>
      <c r="H323" s="53"/>
      <c r="I323" s="53"/>
      <c r="J323" s="169"/>
      <c r="K323" s="162"/>
      <c r="L323" s="57"/>
      <c r="M323" s="183" t="b">
        <v>0</v>
      </c>
      <c r="N323" s="342"/>
      <c r="O323" s="343"/>
      <c r="P323" s="343"/>
      <c r="Q323" s="344"/>
      <c r="R323" s="183" t="b">
        <v>0</v>
      </c>
      <c r="S323" s="53"/>
      <c r="T323" s="48"/>
      <c r="U323" s="49"/>
      <c r="V323" s="50"/>
      <c r="Y323" s="51">
        <f t="shared" si="29"/>
        <v>0</v>
      </c>
      <c r="Z323" s="51">
        <f t="shared" si="30"/>
        <v>0</v>
      </c>
      <c r="AA323" s="51">
        <f t="shared" si="31"/>
        <v>0</v>
      </c>
      <c r="AB323" s="51" t="str">
        <f t="shared" si="32"/>
        <v/>
      </c>
      <c r="AC323" s="51" t="str">
        <f t="shared" si="32"/>
        <v/>
      </c>
    </row>
    <row r="324" spans="1:29" s="51" customFormat="1" ht="33.75" customHeight="1">
      <c r="A324" s="52">
        <v>303</v>
      </c>
      <c r="B324" s="342"/>
      <c r="C324" s="343"/>
      <c r="D324" s="344"/>
      <c r="E324" s="45"/>
      <c r="F324" s="53"/>
      <c r="G324" s="53"/>
      <c r="H324" s="53"/>
      <c r="I324" s="53"/>
      <c r="J324" s="169"/>
      <c r="K324" s="162"/>
      <c r="L324" s="57"/>
      <c r="M324" s="183" t="b">
        <v>0</v>
      </c>
      <c r="N324" s="342"/>
      <c r="O324" s="343"/>
      <c r="P324" s="343"/>
      <c r="Q324" s="344"/>
      <c r="R324" s="183" t="b">
        <v>0</v>
      </c>
      <c r="S324" s="53"/>
      <c r="T324" s="48"/>
      <c r="U324" s="49"/>
      <c r="V324" s="50"/>
      <c r="Y324" s="51">
        <f t="shared" si="29"/>
        <v>0</v>
      </c>
      <c r="Z324" s="51">
        <f t="shared" si="30"/>
        <v>0</v>
      </c>
      <c r="AA324" s="51">
        <f t="shared" si="31"/>
        <v>0</v>
      </c>
      <c r="AB324" s="51" t="str">
        <f t="shared" si="32"/>
        <v/>
      </c>
      <c r="AC324" s="51" t="str">
        <f t="shared" si="32"/>
        <v/>
      </c>
    </row>
    <row r="325" spans="1:29" s="51" customFormat="1" ht="33.75" customHeight="1">
      <c r="A325" s="52">
        <v>304</v>
      </c>
      <c r="B325" s="342"/>
      <c r="C325" s="343"/>
      <c r="D325" s="344"/>
      <c r="E325" s="45"/>
      <c r="F325" s="53"/>
      <c r="G325" s="53"/>
      <c r="H325" s="53"/>
      <c r="I325" s="53"/>
      <c r="J325" s="169"/>
      <c r="K325" s="162"/>
      <c r="L325" s="57"/>
      <c r="M325" s="183" t="b">
        <v>0</v>
      </c>
      <c r="N325" s="342"/>
      <c r="O325" s="343"/>
      <c r="P325" s="343"/>
      <c r="Q325" s="344"/>
      <c r="R325" s="183" t="b">
        <v>0</v>
      </c>
      <c r="S325" s="53"/>
      <c r="T325" s="48"/>
      <c r="U325" s="49"/>
      <c r="V325" s="50"/>
      <c r="Y325" s="51">
        <f t="shared" si="29"/>
        <v>0</v>
      </c>
      <c r="Z325" s="51">
        <f t="shared" si="30"/>
        <v>0</v>
      </c>
      <c r="AA325" s="51">
        <f t="shared" si="31"/>
        <v>0</v>
      </c>
      <c r="AB325" s="51" t="str">
        <f t="shared" si="32"/>
        <v/>
      </c>
      <c r="AC325" s="51" t="str">
        <f t="shared" si="32"/>
        <v/>
      </c>
    </row>
    <row r="326" spans="1:29" s="51" customFormat="1" ht="33.75" customHeight="1">
      <c r="A326" s="52">
        <v>305</v>
      </c>
      <c r="B326" s="342"/>
      <c r="C326" s="343"/>
      <c r="D326" s="344"/>
      <c r="E326" s="45"/>
      <c r="F326" s="53"/>
      <c r="G326" s="53"/>
      <c r="H326" s="53"/>
      <c r="I326" s="53"/>
      <c r="J326" s="169"/>
      <c r="K326" s="162"/>
      <c r="L326" s="57"/>
      <c r="M326" s="183" t="b">
        <v>0</v>
      </c>
      <c r="N326" s="342"/>
      <c r="O326" s="343"/>
      <c r="P326" s="343"/>
      <c r="Q326" s="344"/>
      <c r="R326" s="183" t="b">
        <v>0</v>
      </c>
      <c r="S326" s="53"/>
      <c r="T326" s="48"/>
      <c r="U326" s="49"/>
      <c r="V326" s="50"/>
      <c r="Y326" s="51">
        <f t="shared" si="29"/>
        <v>0</v>
      </c>
      <c r="Z326" s="51">
        <f t="shared" si="30"/>
        <v>0</v>
      </c>
      <c r="AA326" s="51">
        <f t="shared" si="31"/>
        <v>0</v>
      </c>
      <c r="AB326" s="51" t="str">
        <f t="shared" si="32"/>
        <v/>
      </c>
      <c r="AC326" s="51" t="str">
        <f t="shared" si="32"/>
        <v/>
      </c>
    </row>
    <row r="327" spans="1:29" s="51" customFormat="1" ht="33.75" customHeight="1">
      <c r="A327" s="52">
        <v>306</v>
      </c>
      <c r="B327" s="342"/>
      <c r="C327" s="343"/>
      <c r="D327" s="344"/>
      <c r="E327" s="45"/>
      <c r="F327" s="53"/>
      <c r="G327" s="53"/>
      <c r="H327" s="53"/>
      <c r="I327" s="53"/>
      <c r="J327" s="169"/>
      <c r="K327" s="162"/>
      <c r="L327" s="57"/>
      <c r="M327" s="183" t="b">
        <v>0</v>
      </c>
      <c r="N327" s="342"/>
      <c r="O327" s="343"/>
      <c r="P327" s="343"/>
      <c r="Q327" s="344"/>
      <c r="R327" s="183" t="b">
        <v>0</v>
      </c>
      <c r="S327" s="53"/>
      <c r="T327" s="48"/>
      <c r="U327" s="49"/>
      <c r="V327" s="50"/>
      <c r="Y327" s="51">
        <f t="shared" si="29"/>
        <v>0</v>
      </c>
      <c r="Z327" s="51">
        <f t="shared" si="30"/>
        <v>0</v>
      </c>
      <c r="AA327" s="51">
        <f t="shared" si="31"/>
        <v>0</v>
      </c>
      <c r="AB327" s="51" t="str">
        <f t="shared" si="32"/>
        <v/>
      </c>
      <c r="AC327" s="51" t="str">
        <f t="shared" si="32"/>
        <v/>
      </c>
    </row>
    <row r="328" spans="1:29" s="51" customFormat="1" ht="33.75" customHeight="1">
      <c r="A328" s="52">
        <v>307</v>
      </c>
      <c r="B328" s="342"/>
      <c r="C328" s="343"/>
      <c r="D328" s="344"/>
      <c r="E328" s="45"/>
      <c r="F328" s="53"/>
      <c r="G328" s="53"/>
      <c r="H328" s="53"/>
      <c r="I328" s="53"/>
      <c r="J328" s="169"/>
      <c r="K328" s="162"/>
      <c r="L328" s="57"/>
      <c r="M328" s="183" t="b">
        <v>0</v>
      </c>
      <c r="N328" s="342"/>
      <c r="O328" s="343"/>
      <c r="P328" s="343"/>
      <c r="Q328" s="344"/>
      <c r="R328" s="183" t="b">
        <v>0</v>
      </c>
      <c r="S328" s="53"/>
      <c r="T328" s="48"/>
      <c r="U328" s="49"/>
      <c r="V328" s="50"/>
      <c r="Y328" s="51">
        <f t="shared" si="29"/>
        <v>0</v>
      </c>
      <c r="Z328" s="51">
        <f t="shared" si="30"/>
        <v>0</v>
      </c>
      <c r="AA328" s="51">
        <f t="shared" si="31"/>
        <v>0</v>
      </c>
      <c r="AB328" s="51" t="str">
        <f t="shared" si="32"/>
        <v/>
      </c>
      <c r="AC328" s="51" t="str">
        <f t="shared" si="32"/>
        <v/>
      </c>
    </row>
    <row r="329" spans="1:29" s="51" customFormat="1" ht="33.75" customHeight="1">
      <c r="A329" s="52">
        <v>308</v>
      </c>
      <c r="B329" s="342"/>
      <c r="C329" s="343"/>
      <c r="D329" s="344"/>
      <c r="E329" s="45"/>
      <c r="F329" s="53"/>
      <c r="G329" s="53"/>
      <c r="H329" s="53"/>
      <c r="I329" s="53"/>
      <c r="J329" s="169"/>
      <c r="K329" s="162"/>
      <c r="L329" s="57"/>
      <c r="M329" s="183" t="b">
        <v>0</v>
      </c>
      <c r="N329" s="342"/>
      <c r="O329" s="343"/>
      <c r="P329" s="343"/>
      <c r="Q329" s="344"/>
      <c r="R329" s="183" t="b">
        <v>0</v>
      </c>
      <c r="S329" s="53"/>
      <c r="T329" s="48"/>
      <c r="U329" s="49"/>
      <c r="V329" s="50"/>
      <c r="Y329" s="51">
        <f t="shared" si="29"/>
        <v>0</v>
      </c>
      <c r="Z329" s="51">
        <f t="shared" si="30"/>
        <v>0</v>
      </c>
      <c r="AA329" s="51">
        <f t="shared" si="31"/>
        <v>0</v>
      </c>
      <c r="AB329" s="51" t="str">
        <f t="shared" si="32"/>
        <v/>
      </c>
      <c r="AC329" s="51" t="str">
        <f t="shared" si="32"/>
        <v/>
      </c>
    </row>
    <row r="330" spans="1:29" s="51" customFormat="1" ht="33.75" customHeight="1">
      <c r="A330" s="52">
        <v>309</v>
      </c>
      <c r="B330" s="342"/>
      <c r="C330" s="343"/>
      <c r="D330" s="344"/>
      <c r="E330" s="45"/>
      <c r="F330" s="53"/>
      <c r="G330" s="53"/>
      <c r="H330" s="53"/>
      <c r="I330" s="53"/>
      <c r="J330" s="169"/>
      <c r="K330" s="162"/>
      <c r="L330" s="57"/>
      <c r="M330" s="183" t="b">
        <v>0</v>
      </c>
      <c r="N330" s="342"/>
      <c r="O330" s="343"/>
      <c r="P330" s="343"/>
      <c r="Q330" s="344"/>
      <c r="R330" s="183" t="b">
        <v>0</v>
      </c>
      <c r="S330" s="53"/>
      <c r="T330" s="48"/>
      <c r="U330" s="49"/>
      <c r="V330" s="50"/>
      <c r="Y330" s="51">
        <f t="shared" si="29"/>
        <v>0</v>
      </c>
      <c r="Z330" s="51">
        <f t="shared" si="30"/>
        <v>0</v>
      </c>
      <c r="AA330" s="51">
        <f t="shared" si="31"/>
        <v>0</v>
      </c>
      <c r="AB330" s="51" t="str">
        <f t="shared" si="32"/>
        <v/>
      </c>
      <c r="AC330" s="51" t="str">
        <f t="shared" si="32"/>
        <v/>
      </c>
    </row>
    <row r="331" spans="1:29" s="51" customFormat="1" ht="33.75" customHeight="1">
      <c r="A331" s="52">
        <v>310</v>
      </c>
      <c r="B331" s="342"/>
      <c r="C331" s="343"/>
      <c r="D331" s="344"/>
      <c r="E331" s="45"/>
      <c r="F331" s="53"/>
      <c r="G331" s="53"/>
      <c r="H331" s="53"/>
      <c r="I331" s="53"/>
      <c r="J331" s="169"/>
      <c r="K331" s="162"/>
      <c r="L331" s="57"/>
      <c r="M331" s="183" t="b">
        <v>0</v>
      </c>
      <c r="N331" s="342"/>
      <c r="O331" s="343"/>
      <c r="P331" s="343"/>
      <c r="Q331" s="344"/>
      <c r="R331" s="183" t="b">
        <v>0</v>
      </c>
      <c r="S331" s="53"/>
      <c r="T331" s="48"/>
      <c r="U331" s="49"/>
      <c r="V331" s="50"/>
      <c r="Y331" s="51">
        <f t="shared" si="29"/>
        <v>0</v>
      </c>
      <c r="Z331" s="51">
        <f t="shared" si="30"/>
        <v>0</v>
      </c>
      <c r="AA331" s="51">
        <f t="shared" si="31"/>
        <v>0</v>
      </c>
      <c r="AB331" s="51" t="str">
        <f t="shared" si="32"/>
        <v/>
      </c>
      <c r="AC331" s="51" t="str">
        <f t="shared" si="32"/>
        <v/>
      </c>
    </row>
    <row r="332" spans="1:29" s="51" customFormat="1" ht="33.75" customHeight="1">
      <c r="A332" s="52">
        <v>311</v>
      </c>
      <c r="B332" s="342"/>
      <c r="C332" s="343"/>
      <c r="D332" s="344"/>
      <c r="E332" s="45"/>
      <c r="F332" s="53"/>
      <c r="G332" s="53"/>
      <c r="H332" s="53"/>
      <c r="I332" s="53"/>
      <c r="J332" s="169"/>
      <c r="K332" s="162"/>
      <c r="L332" s="57"/>
      <c r="M332" s="183" t="b">
        <v>0</v>
      </c>
      <c r="N332" s="342"/>
      <c r="O332" s="343"/>
      <c r="P332" s="343"/>
      <c r="Q332" s="344"/>
      <c r="R332" s="183" t="b">
        <v>0</v>
      </c>
      <c r="S332" s="53"/>
      <c r="T332" s="48"/>
      <c r="U332" s="49"/>
      <c r="V332" s="50"/>
      <c r="Y332" s="51">
        <f t="shared" si="29"/>
        <v>0</v>
      </c>
      <c r="Z332" s="51">
        <f t="shared" si="30"/>
        <v>0</v>
      </c>
      <c r="AA332" s="51">
        <f t="shared" si="31"/>
        <v>0</v>
      </c>
      <c r="AB332" s="51" t="str">
        <f t="shared" si="32"/>
        <v/>
      </c>
      <c r="AC332" s="51" t="str">
        <f t="shared" si="32"/>
        <v/>
      </c>
    </row>
    <row r="333" spans="1:29" s="51" customFormat="1" ht="33.75" customHeight="1">
      <c r="A333" s="52">
        <v>312</v>
      </c>
      <c r="B333" s="342"/>
      <c r="C333" s="343"/>
      <c r="D333" s="344"/>
      <c r="E333" s="45"/>
      <c r="F333" s="53"/>
      <c r="G333" s="53"/>
      <c r="H333" s="53"/>
      <c r="I333" s="53"/>
      <c r="J333" s="169"/>
      <c r="K333" s="162"/>
      <c r="L333" s="57"/>
      <c r="M333" s="183" t="b">
        <v>0</v>
      </c>
      <c r="N333" s="342"/>
      <c r="O333" s="343"/>
      <c r="P333" s="343"/>
      <c r="Q333" s="344"/>
      <c r="R333" s="183" t="b">
        <v>0</v>
      </c>
      <c r="S333" s="53"/>
      <c r="T333" s="48"/>
      <c r="U333" s="49"/>
      <c r="V333" s="50"/>
      <c r="Y333" s="51">
        <f t="shared" si="29"/>
        <v>0</v>
      </c>
      <c r="Z333" s="51">
        <f t="shared" si="30"/>
        <v>0</v>
      </c>
      <c r="AA333" s="51">
        <f t="shared" si="31"/>
        <v>0</v>
      </c>
      <c r="AB333" s="51" t="str">
        <f t="shared" si="32"/>
        <v/>
      </c>
      <c r="AC333" s="51" t="str">
        <f t="shared" si="32"/>
        <v/>
      </c>
    </row>
    <row r="334" spans="1:29" s="51" customFormat="1" ht="33.75" customHeight="1">
      <c r="A334" s="52">
        <v>313</v>
      </c>
      <c r="B334" s="342"/>
      <c r="C334" s="343"/>
      <c r="D334" s="344"/>
      <c r="E334" s="45"/>
      <c r="F334" s="53"/>
      <c r="G334" s="53"/>
      <c r="H334" s="53"/>
      <c r="I334" s="53"/>
      <c r="J334" s="169"/>
      <c r="K334" s="162"/>
      <c r="L334" s="57"/>
      <c r="M334" s="183" t="b">
        <v>0</v>
      </c>
      <c r="N334" s="342"/>
      <c r="O334" s="343"/>
      <c r="P334" s="343"/>
      <c r="Q334" s="344"/>
      <c r="R334" s="183" t="b">
        <v>0</v>
      </c>
      <c r="S334" s="53"/>
      <c r="T334" s="48"/>
      <c r="U334" s="49"/>
      <c r="V334" s="50"/>
      <c r="Y334" s="51">
        <f t="shared" si="29"/>
        <v>0</v>
      </c>
      <c r="Z334" s="51">
        <f t="shared" si="30"/>
        <v>0</v>
      </c>
      <c r="AA334" s="51">
        <f t="shared" si="31"/>
        <v>0</v>
      </c>
      <c r="AB334" s="51" t="str">
        <f t="shared" si="32"/>
        <v/>
      </c>
      <c r="AC334" s="51" t="str">
        <f t="shared" si="32"/>
        <v/>
      </c>
    </row>
    <row r="335" spans="1:29" s="51" customFormat="1" ht="33.75" customHeight="1">
      <c r="A335" s="52">
        <v>314</v>
      </c>
      <c r="B335" s="342"/>
      <c r="C335" s="343"/>
      <c r="D335" s="344"/>
      <c r="E335" s="45"/>
      <c r="F335" s="53"/>
      <c r="G335" s="53"/>
      <c r="H335" s="53"/>
      <c r="I335" s="53"/>
      <c r="J335" s="169"/>
      <c r="K335" s="162"/>
      <c r="L335" s="57"/>
      <c r="M335" s="183" t="b">
        <v>0</v>
      </c>
      <c r="N335" s="342"/>
      <c r="O335" s="343"/>
      <c r="P335" s="343"/>
      <c r="Q335" s="344"/>
      <c r="R335" s="183" t="b">
        <v>0</v>
      </c>
      <c r="S335" s="53"/>
      <c r="T335" s="48"/>
      <c r="U335" s="49"/>
      <c r="V335" s="50"/>
      <c r="Y335" s="51">
        <f t="shared" si="29"/>
        <v>0</v>
      </c>
      <c r="Z335" s="51">
        <f t="shared" si="30"/>
        <v>0</v>
      </c>
      <c r="AA335" s="51">
        <f t="shared" si="31"/>
        <v>0</v>
      </c>
      <c r="AB335" s="51" t="str">
        <f t="shared" si="32"/>
        <v/>
      </c>
      <c r="AC335" s="51" t="str">
        <f t="shared" si="32"/>
        <v/>
      </c>
    </row>
    <row r="336" spans="1:29" s="51" customFormat="1" ht="33.75" customHeight="1">
      <c r="A336" s="52">
        <v>315</v>
      </c>
      <c r="B336" s="342"/>
      <c r="C336" s="343"/>
      <c r="D336" s="344"/>
      <c r="E336" s="45"/>
      <c r="F336" s="53"/>
      <c r="G336" s="53"/>
      <c r="H336" s="53"/>
      <c r="I336" s="53"/>
      <c r="J336" s="169"/>
      <c r="K336" s="162"/>
      <c r="L336" s="57"/>
      <c r="M336" s="183" t="b">
        <v>0</v>
      </c>
      <c r="N336" s="342"/>
      <c r="O336" s="343"/>
      <c r="P336" s="343"/>
      <c r="Q336" s="344"/>
      <c r="R336" s="183" t="b">
        <v>0</v>
      </c>
      <c r="S336" s="53"/>
      <c r="T336" s="48"/>
      <c r="U336" s="49"/>
      <c r="V336" s="50"/>
      <c r="Y336" s="51">
        <f t="shared" si="29"/>
        <v>0</v>
      </c>
      <c r="Z336" s="51">
        <f t="shared" si="30"/>
        <v>0</v>
      </c>
      <c r="AA336" s="51">
        <f t="shared" si="31"/>
        <v>0</v>
      </c>
      <c r="AB336" s="51" t="str">
        <f t="shared" si="32"/>
        <v/>
      </c>
      <c r="AC336" s="51" t="str">
        <f t="shared" si="32"/>
        <v/>
      </c>
    </row>
    <row r="337" spans="1:29" s="51" customFormat="1" ht="33.75" customHeight="1">
      <c r="A337" s="52">
        <v>316</v>
      </c>
      <c r="B337" s="342"/>
      <c r="C337" s="343"/>
      <c r="D337" s="344"/>
      <c r="E337" s="45"/>
      <c r="F337" s="53"/>
      <c r="G337" s="53"/>
      <c r="H337" s="53"/>
      <c r="I337" s="53"/>
      <c r="J337" s="169"/>
      <c r="K337" s="162"/>
      <c r="L337" s="57"/>
      <c r="M337" s="183" t="b">
        <v>0</v>
      </c>
      <c r="N337" s="342"/>
      <c r="O337" s="343"/>
      <c r="P337" s="343"/>
      <c r="Q337" s="344"/>
      <c r="R337" s="183" t="b">
        <v>0</v>
      </c>
      <c r="S337" s="53"/>
      <c r="T337" s="48"/>
      <c r="U337" s="49"/>
      <c r="V337" s="50"/>
      <c r="Y337" s="51">
        <f t="shared" si="29"/>
        <v>0</v>
      </c>
      <c r="Z337" s="51">
        <f t="shared" si="30"/>
        <v>0</v>
      </c>
      <c r="AA337" s="51">
        <f t="shared" si="31"/>
        <v>0</v>
      </c>
      <c r="AB337" s="51" t="str">
        <f t="shared" si="32"/>
        <v/>
      </c>
      <c r="AC337" s="51" t="str">
        <f t="shared" si="32"/>
        <v/>
      </c>
    </row>
    <row r="338" spans="1:29" s="51" customFormat="1" ht="33.75" customHeight="1">
      <c r="A338" s="52">
        <v>317</v>
      </c>
      <c r="B338" s="342"/>
      <c r="C338" s="343"/>
      <c r="D338" s="344"/>
      <c r="E338" s="45"/>
      <c r="F338" s="53"/>
      <c r="G338" s="53"/>
      <c r="H338" s="53"/>
      <c r="I338" s="53"/>
      <c r="J338" s="169"/>
      <c r="K338" s="162"/>
      <c r="L338" s="57"/>
      <c r="M338" s="183" t="b">
        <v>0</v>
      </c>
      <c r="N338" s="342"/>
      <c r="O338" s="343"/>
      <c r="P338" s="343"/>
      <c r="Q338" s="344"/>
      <c r="R338" s="183" t="b">
        <v>0</v>
      </c>
      <c r="S338" s="53"/>
      <c r="T338" s="48"/>
      <c r="U338" s="49"/>
      <c r="V338" s="50"/>
      <c r="Y338" s="51">
        <f t="shared" si="29"/>
        <v>0</v>
      </c>
      <c r="Z338" s="51">
        <f t="shared" si="30"/>
        <v>0</v>
      </c>
      <c r="AA338" s="51">
        <f t="shared" si="31"/>
        <v>0</v>
      </c>
      <c r="AB338" s="51" t="str">
        <f t="shared" si="32"/>
        <v/>
      </c>
      <c r="AC338" s="51" t="str">
        <f t="shared" si="32"/>
        <v/>
      </c>
    </row>
    <row r="339" spans="1:29" s="51" customFormat="1" ht="33.75" customHeight="1">
      <c r="A339" s="52">
        <v>318</v>
      </c>
      <c r="B339" s="342"/>
      <c r="C339" s="343"/>
      <c r="D339" s="344"/>
      <c r="E339" s="45"/>
      <c r="F339" s="53"/>
      <c r="G339" s="53"/>
      <c r="H339" s="53"/>
      <c r="I339" s="53"/>
      <c r="J339" s="169"/>
      <c r="K339" s="162"/>
      <c r="L339" s="57"/>
      <c r="M339" s="183" t="b">
        <v>0</v>
      </c>
      <c r="N339" s="342"/>
      <c r="O339" s="343"/>
      <c r="P339" s="343"/>
      <c r="Q339" s="344"/>
      <c r="R339" s="183" t="b">
        <v>0</v>
      </c>
      <c r="S339" s="53"/>
      <c r="T339" s="48"/>
      <c r="U339" s="49"/>
      <c r="V339" s="50"/>
      <c r="Y339" s="51">
        <f t="shared" si="29"/>
        <v>0</v>
      </c>
      <c r="Z339" s="51">
        <f t="shared" si="30"/>
        <v>0</v>
      </c>
      <c r="AA339" s="51">
        <f t="shared" si="31"/>
        <v>0</v>
      </c>
      <c r="AB339" s="51" t="str">
        <f t="shared" si="32"/>
        <v/>
      </c>
      <c r="AC339" s="51" t="str">
        <f t="shared" si="32"/>
        <v/>
      </c>
    </row>
    <row r="340" spans="1:29" s="51" customFormat="1" ht="33.75" customHeight="1">
      <c r="A340" s="52">
        <v>319</v>
      </c>
      <c r="B340" s="342"/>
      <c r="C340" s="343"/>
      <c r="D340" s="344"/>
      <c r="E340" s="45"/>
      <c r="F340" s="53"/>
      <c r="G340" s="53"/>
      <c r="H340" s="53"/>
      <c r="I340" s="53"/>
      <c r="J340" s="169"/>
      <c r="K340" s="162"/>
      <c r="L340" s="57"/>
      <c r="M340" s="183" t="b">
        <v>0</v>
      </c>
      <c r="N340" s="342"/>
      <c r="O340" s="343"/>
      <c r="P340" s="343"/>
      <c r="Q340" s="344"/>
      <c r="R340" s="183" t="b">
        <v>0</v>
      </c>
      <c r="S340" s="53"/>
      <c r="T340" s="48"/>
      <c r="U340" s="49"/>
      <c r="V340" s="50"/>
      <c r="Y340" s="51">
        <f t="shared" si="29"/>
        <v>0</v>
      </c>
      <c r="Z340" s="51">
        <f t="shared" si="30"/>
        <v>0</v>
      </c>
      <c r="AA340" s="51">
        <f t="shared" si="31"/>
        <v>0</v>
      </c>
      <c r="AB340" s="51" t="str">
        <f t="shared" si="32"/>
        <v/>
      </c>
      <c r="AC340" s="51" t="str">
        <f t="shared" si="32"/>
        <v/>
      </c>
    </row>
    <row r="341" spans="1:29" s="51" customFormat="1" ht="33.75" customHeight="1">
      <c r="A341" s="52">
        <v>320</v>
      </c>
      <c r="B341" s="342"/>
      <c r="C341" s="343"/>
      <c r="D341" s="344"/>
      <c r="E341" s="45"/>
      <c r="F341" s="53"/>
      <c r="G341" s="53"/>
      <c r="H341" s="53"/>
      <c r="I341" s="53"/>
      <c r="J341" s="169"/>
      <c r="K341" s="162"/>
      <c r="L341" s="57"/>
      <c r="M341" s="183" t="b">
        <v>0</v>
      </c>
      <c r="N341" s="342"/>
      <c r="O341" s="343"/>
      <c r="P341" s="343"/>
      <c r="Q341" s="344"/>
      <c r="R341" s="183" t="b">
        <v>0</v>
      </c>
      <c r="S341" s="53"/>
      <c r="T341" s="48"/>
      <c r="U341" s="49"/>
      <c r="V341" s="50"/>
      <c r="Y341" s="51">
        <f t="shared" si="29"/>
        <v>0</v>
      </c>
      <c r="Z341" s="51">
        <f t="shared" si="30"/>
        <v>0</v>
      </c>
      <c r="AA341" s="51">
        <f t="shared" si="31"/>
        <v>0</v>
      </c>
      <c r="AB341" s="51" t="str">
        <f t="shared" si="32"/>
        <v/>
      </c>
      <c r="AC341" s="51" t="str">
        <f t="shared" si="32"/>
        <v/>
      </c>
    </row>
    <row r="342" spans="1:29" s="51" customFormat="1" ht="33.75" customHeight="1">
      <c r="A342" s="52">
        <v>321</v>
      </c>
      <c r="B342" s="342"/>
      <c r="C342" s="343"/>
      <c r="D342" s="344"/>
      <c r="E342" s="45"/>
      <c r="F342" s="53"/>
      <c r="G342" s="53"/>
      <c r="H342" s="53"/>
      <c r="I342" s="53"/>
      <c r="J342" s="169"/>
      <c r="K342" s="162"/>
      <c r="L342" s="57"/>
      <c r="M342" s="183" t="b">
        <v>0</v>
      </c>
      <c r="N342" s="342"/>
      <c r="O342" s="343"/>
      <c r="P342" s="343"/>
      <c r="Q342" s="344"/>
      <c r="R342" s="183" t="b">
        <v>0</v>
      </c>
      <c r="S342" s="53"/>
      <c r="T342" s="48"/>
      <c r="U342" s="49"/>
      <c r="V342" s="50"/>
      <c r="Y342" s="51">
        <f t="shared" si="29"/>
        <v>0</v>
      </c>
      <c r="Z342" s="51">
        <f t="shared" si="30"/>
        <v>0</v>
      </c>
      <c r="AA342" s="51">
        <f t="shared" si="31"/>
        <v>0</v>
      </c>
      <c r="AB342" s="51" t="str">
        <f t="shared" si="32"/>
        <v/>
      </c>
      <c r="AC342" s="51" t="str">
        <f t="shared" ref="AC342" si="33">IF(I342="","",IF($E342="男",1,IF($E342="女",2,"")))</f>
        <v/>
      </c>
    </row>
    <row r="343" spans="1:29" s="51" customFormat="1" ht="33.75" customHeight="1">
      <c r="A343" s="52">
        <v>322</v>
      </c>
      <c r="B343" s="342"/>
      <c r="C343" s="343"/>
      <c r="D343" s="344"/>
      <c r="E343" s="45"/>
      <c r="F343" s="53"/>
      <c r="G343" s="53"/>
      <c r="H343" s="53"/>
      <c r="I343" s="53"/>
      <c r="J343" s="169"/>
      <c r="K343" s="162"/>
      <c r="L343" s="57"/>
      <c r="M343" s="183" t="b">
        <v>0</v>
      </c>
      <c r="N343" s="342"/>
      <c r="O343" s="343"/>
      <c r="P343" s="343"/>
      <c r="Q343" s="344"/>
      <c r="R343" s="183" t="b">
        <v>0</v>
      </c>
      <c r="S343" s="53"/>
      <c r="T343" s="48"/>
      <c r="U343" s="49"/>
      <c r="V343" s="50"/>
      <c r="Y343" s="51">
        <f t="shared" si="29"/>
        <v>0</v>
      </c>
      <c r="Z343" s="51">
        <f t="shared" ref="Z343:Z406" si="34">COUNTA(F343:I343)</f>
        <v>0</v>
      </c>
      <c r="AA343" s="51">
        <f t="shared" ref="AA343:AA406" si="35">COUNTA($J343)</f>
        <v>0</v>
      </c>
      <c r="AB343" s="51" t="str">
        <f t="shared" ref="AB343:AC406" si="36">IF(H343="","",IF($E343="男",1,IF($E343="女",2,"")))</f>
        <v/>
      </c>
      <c r="AC343" s="51" t="str">
        <f t="shared" si="36"/>
        <v/>
      </c>
    </row>
    <row r="344" spans="1:29" s="51" customFormat="1" ht="33.75" customHeight="1">
      <c r="A344" s="52">
        <v>323</v>
      </c>
      <c r="B344" s="342"/>
      <c r="C344" s="343"/>
      <c r="D344" s="344"/>
      <c r="E344" s="45"/>
      <c r="F344" s="53"/>
      <c r="G344" s="53"/>
      <c r="H344" s="53"/>
      <c r="I344" s="53"/>
      <c r="J344" s="169"/>
      <c r="K344" s="162"/>
      <c r="L344" s="57"/>
      <c r="M344" s="183" t="b">
        <v>0</v>
      </c>
      <c r="N344" s="342"/>
      <c r="O344" s="343"/>
      <c r="P344" s="343"/>
      <c r="Q344" s="344"/>
      <c r="R344" s="183" t="b">
        <v>0</v>
      </c>
      <c r="S344" s="53"/>
      <c r="T344" s="48"/>
      <c r="U344" s="49"/>
      <c r="V344" s="50"/>
      <c r="Y344" s="51">
        <f t="shared" si="29"/>
        <v>0</v>
      </c>
      <c r="Z344" s="51">
        <f t="shared" si="34"/>
        <v>0</v>
      </c>
      <c r="AA344" s="51">
        <f t="shared" si="35"/>
        <v>0</v>
      </c>
      <c r="AB344" s="51" t="str">
        <f t="shared" si="36"/>
        <v/>
      </c>
      <c r="AC344" s="51" t="str">
        <f t="shared" si="36"/>
        <v/>
      </c>
    </row>
    <row r="345" spans="1:29" s="51" customFormat="1" ht="33.75" customHeight="1">
      <c r="A345" s="52">
        <v>324</v>
      </c>
      <c r="B345" s="342"/>
      <c r="C345" s="343"/>
      <c r="D345" s="344"/>
      <c r="E345" s="45"/>
      <c r="F345" s="53"/>
      <c r="G345" s="53"/>
      <c r="H345" s="53"/>
      <c r="I345" s="53"/>
      <c r="J345" s="169"/>
      <c r="K345" s="162"/>
      <c r="L345" s="57"/>
      <c r="M345" s="183" t="b">
        <v>0</v>
      </c>
      <c r="N345" s="342"/>
      <c r="O345" s="343"/>
      <c r="P345" s="343"/>
      <c r="Q345" s="344"/>
      <c r="R345" s="183" t="b">
        <v>0</v>
      </c>
      <c r="S345" s="53"/>
      <c r="T345" s="48"/>
      <c r="U345" s="49"/>
      <c r="V345" s="50"/>
      <c r="Y345" s="51">
        <f t="shared" si="29"/>
        <v>0</v>
      </c>
      <c r="Z345" s="51">
        <f t="shared" si="34"/>
        <v>0</v>
      </c>
      <c r="AA345" s="51">
        <f t="shared" si="35"/>
        <v>0</v>
      </c>
      <c r="AB345" s="51" t="str">
        <f t="shared" si="36"/>
        <v/>
      </c>
      <c r="AC345" s="51" t="str">
        <f t="shared" si="36"/>
        <v/>
      </c>
    </row>
    <row r="346" spans="1:29" s="51" customFormat="1" ht="33.75" customHeight="1">
      <c r="A346" s="52">
        <v>325</v>
      </c>
      <c r="B346" s="342"/>
      <c r="C346" s="343"/>
      <c r="D346" s="344"/>
      <c r="E346" s="45"/>
      <c r="F346" s="53"/>
      <c r="G346" s="53"/>
      <c r="H346" s="53"/>
      <c r="I346" s="53"/>
      <c r="J346" s="169"/>
      <c r="K346" s="162"/>
      <c r="L346" s="57"/>
      <c r="M346" s="183" t="b">
        <v>0</v>
      </c>
      <c r="N346" s="342"/>
      <c r="O346" s="343"/>
      <c r="P346" s="343"/>
      <c r="Q346" s="344"/>
      <c r="R346" s="183" t="b">
        <v>0</v>
      </c>
      <c r="S346" s="53"/>
      <c r="T346" s="48"/>
      <c r="U346" s="49"/>
      <c r="V346" s="50"/>
      <c r="Y346" s="51">
        <f t="shared" si="29"/>
        <v>0</v>
      </c>
      <c r="Z346" s="51">
        <f t="shared" si="34"/>
        <v>0</v>
      </c>
      <c r="AA346" s="51">
        <f t="shared" si="35"/>
        <v>0</v>
      </c>
      <c r="AB346" s="51" t="str">
        <f t="shared" si="36"/>
        <v/>
      </c>
      <c r="AC346" s="51" t="str">
        <f t="shared" si="36"/>
        <v/>
      </c>
    </row>
    <row r="347" spans="1:29" s="51" customFormat="1" ht="33.75" customHeight="1">
      <c r="A347" s="52">
        <v>326</v>
      </c>
      <c r="B347" s="342"/>
      <c r="C347" s="343"/>
      <c r="D347" s="344"/>
      <c r="E347" s="45"/>
      <c r="F347" s="53"/>
      <c r="G347" s="53"/>
      <c r="H347" s="53"/>
      <c r="I347" s="53"/>
      <c r="J347" s="169"/>
      <c r="K347" s="162"/>
      <c r="L347" s="57"/>
      <c r="M347" s="183" t="b">
        <v>0</v>
      </c>
      <c r="N347" s="342"/>
      <c r="O347" s="343"/>
      <c r="P347" s="343"/>
      <c r="Q347" s="344"/>
      <c r="R347" s="183" t="b">
        <v>0</v>
      </c>
      <c r="S347" s="53"/>
      <c r="T347" s="48"/>
      <c r="U347" s="49"/>
      <c r="V347" s="50"/>
      <c r="Y347" s="51">
        <f t="shared" si="29"/>
        <v>0</v>
      </c>
      <c r="Z347" s="51">
        <f t="shared" si="34"/>
        <v>0</v>
      </c>
      <c r="AA347" s="51">
        <f t="shared" si="35"/>
        <v>0</v>
      </c>
      <c r="AB347" s="51" t="str">
        <f t="shared" si="36"/>
        <v/>
      </c>
      <c r="AC347" s="51" t="str">
        <f t="shared" si="36"/>
        <v/>
      </c>
    </row>
    <row r="348" spans="1:29" s="51" customFormat="1" ht="33.75" customHeight="1">
      <c r="A348" s="52">
        <v>327</v>
      </c>
      <c r="B348" s="342"/>
      <c r="C348" s="343"/>
      <c r="D348" s="344"/>
      <c r="E348" s="45"/>
      <c r="F348" s="53"/>
      <c r="G348" s="53"/>
      <c r="H348" s="53"/>
      <c r="I348" s="53"/>
      <c r="J348" s="169"/>
      <c r="K348" s="162"/>
      <c r="L348" s="57"/>
      <c r="M348" s="183" t="b">
        <v>0</v>
      </c>
      <c r="N348" s="342"/>
      <c r="O348" s="343"/>
      <c r="P348" s="343"/>
      <c r="Q348" s="344"/>
      <c r="R348" s="183" t="b">
        <v>0</v>
      </c>
      <c r="S348" s="53"/>
      <c r="T348" s="48"/>
      <c r="U348" s="49"/>
      <c r="V348" s="50"/>
      <c r="Y348" s="51">
        <f t="shared" si="29"/>
        <v>0</v>
      </c>
      <c r="Z348" s="51">
        <f t="shared" si="34"/>
        <v>0</v>
      </c>
      <c r="AA348" s="51">
        <f t="shared" si="35"/>
        <v>0</v>
      </c>
      <c r="AB348" s="51" t="str">
        <f t="shared" si="36"/>
        <v/>
      </c>
      <c r="AC348" s="51" t="str">
        <f t="shared" si="36"/>
        <v/>
      </c>
    </row>
    <row r="349" spans="1:29" s="51" customFormat="1" ht="33.75" customHeight="1">
      <c r="A349" s="52">
        <v>328</v>
      </c>
      <c r="B349" s="342"/>
      <c r="C349" s="343"/>
      <c r="D349" s="344"/>
      <c r="E349" s="45"/>
      <c r="F349" s="53"/>
      <c r="G349" s="53"/>
      <c r="H349" s="53"/>
      <c r="I349" s="53"/>
      <c r="J349" s="169"/>
      <c r="K349" s="162"/>
      <c r="L349" s="57"/>
      <c r="M349" s="183" t="b">
        <v>0</v>
      </c>
      <c r="N349" s="342"/>
      <c r="O349" s="343"/>
      <c r="P349" s="343"/>
      <c r="Q349" s="344"/>
      <c r="R349" s="183" t="b">
        <v>0</v>
      </c>
      <c r="S349" s="53"/>
      <c r="T349" s="48"/>
      <c r="U349" s="49"/>
      <c r="V349" s="50"/>
      <c r="Y349" s="51">
        <f t="shared" si="29"/>
        <v>0</v>
      </c>
      <c r="Z349" s="51">
        <f t="shared" si="34"/>
        <v>0</v>
      </c>
      <c r="AA349" s="51">
        <f t="shared" si="35"/>
        <v>0</v>
      </c>
      <c r="AB349" s="51" t="str">
        <f t="shared" si="36"/>
        <v/>
      </c>
      <c r="AC349" s="51" t="str">
        <f t="shared" si="36"/>
        <v/>
      </c>
    </row>
    <row r="350" spans="1:29" s="51" customFormat="1" ht="33.75" customHeight="1">
      <c r="A350" s="52">
        <v>329</v>
      </c>
      <c r="B350" s="342"/>
      <c r="C350" s="343"/>
      <c r="D350" s="344"/>
      <c r="E350" s="45"/>
      <c r="F350" s="53"/>
      <c r="G350" s="53"/>
      <c r="H350" s="53"/>
      <c r="I350" s="53"/>
      <c r="J350" s="169"/>
      <c r="K350" s="162"/>
      <c r="L350" s="57"/>
      <c r="M350" s="183" t="b">
        <v>0</v>
      </c>
      <c r="N350" s="342"/>
      <c r="O350" s="343"/>
      <c r="P350" s="343"/>
      <c r="Q350" s="344"/>
      <c r="R350" s="183" t="b">
        <v>0</v>
      </c>
      <c r="S350" s="53"/>
      <c r="T350" s="48"/>
      <c r="U350" s="49"/>
      <c r="V350" s="50"/>
      <c r="Y350" s="51">
        <f t="shared" si="29"/>
        <v>0</v>
      </c>
      <c r="Z350" s="51">
        <f t="shared" si="34"/>
        <v>0</v>
      </c>
      <c r="AA350" s="51">
        <f t="shared" si="35"/>
        <v>0</v>
      </c>
      <c r="AB350" s="51" t="str">
        <f t="shared" si="36"/>
        <v/>
      </c>
      <c r="AC350" s="51" t="str">
        <f t="shared" si="36"/>
        <v/>
      </c>
    </row>
    <row r="351" spans="1:29" s="51" customFormat="1" ht="33.75" customHeight="1">
      <c r="A351" s="52">
        <v>330</v>
      </c>
      <c r="B351" s="342"/>
      <c r="C351" s="343"/>
      <c r="D351" s="344"/>
      <c r="E351" s="45"/>
      <c r="F351" s="53"/>
      <c r="G351" s="53"/>
      <c r="H351" s="53"/>
      <c r="I351" s="53"/>
      <c r="J351" s="169"/>
      <c r="K351" s="162"/>
      <c r="L351" s="57"/>
      <c r="M351" s="183" t="b">
        <v>0</v>
      </c>
      <c r="N351" s="342"/>
      <c r="O351" s="343"/>
      <c r="P351" s="343"/>
      <c r="Q351" s="344"/>
      <c r="R351" s="183" t="b">
        <v>0</v>
      </c>
      <c r="S351" s="53"/>
      <c r="T351" s="48"/>
      <c r="U351" s="49"/>
      <c r="V351" s="50"/>
      <c r="Y351" s="51">
        <f t="shared" si="29"/>
        <v>0</v>
      </c>
      <c r="Z351" s="51">
        <f t="shared" si="34"/>
        <v>0</v>
      </c>
      <c r="AA351" s="51">
        <f t="shared" si="35"/>
        <v>0</v>
      </c>
      <c r="AB351" s="51" t="str">
        <f t="shared" si="36"/>
        <v/>
      </c>
      <c r="AC351" s="51" t="str">
        <f t="shared" si="36"/>
        <v/>
      </c>
    </row>
    <row r="352" spans="1:29" s="51" customFormat="1" ht="33.75" customHeight="1">
      <c r="A352" s="52">
        <v>331</v>
      </c>
      <c r="B352" s="342"/>
      <c r="C352" s="343"/>
      <c r="D352" s="344"/>
      <c r="E352" s="45"/>
      <c r="F352" s="53"/>
      <c r="G352" s="53"/>
      <c r="H352" s="53"/>
      <c r="I352" s="53"/>
      <c r="J352" s="169"/>
      <c r="K352" s="162"/>
      <c r="L352" s="57"/>
      <c r="M352" s="183" t="b">
        <v>0</v>
      </c>
      <c r="N352" s="342"/>
      <c r="O352" s="343"/>
      <c r="P352" s="343"/>
      <c r="Q352" s="344"/>
      <c r="R352" s="183" t="b">
        <v>0</v>
      </c>
      <c r="S352" s="53"/>
      <c r="T352" s="48"/>
      <c r="U352" s="49"/>
      <c r="V352" s="50"/>
      <c r="Y352" s="51">
        <f t="shared" si="29"/>
        <v>0</v>
      </c>
      <c r="Z352" s="51">
        <f t="shared" si="34"/>
        <v>0</v>
      </c>
      <c r="AA352" s="51">
        <f t="shared" si="35"/>
        <v>0</v>
      </c>
      <c r="AB352" s="51" t="str">
        <f t="shared" si="36"/>
        <v/>
      </c>
      <c r="AC352" s="51" t="str">
        <f t="shared" si="36"/>
        <v/>
      </c>
    </row>
    <row r="353" spans="1:29" s="51" customFormat="1" ht="33.75" customHeight="1">
      <c r="A353" s="52">
        <v>332</v>
      </c>
      <c r="B353" s="342"/>
      <c r="C353" s="343"/>
      <c r="D353" s="344"/>
      <c r="E353" s="45"/>
      <c r="F353" s="53"/>
      <c r="G353" s="53"/>
      <c r="H353" s="53"/>
      <c r="I353" s="53"/>
      <c r="J353" s="169"/>
      <c r="K353" s="162"/>
      <c r="L353" s="57"/>
      <c r="M353" s="183" t="b">
        <v>0</v>
      </c>
      <c r="N353" s="342"/>
      <c r="O353" s="343"/>
      <c r="P353" s="343"/>
      <c r="Q353" s="344"/>
      <c r="R353" s="183" t="b">
        <v>0</v>
      </c>
      <c r="S353" s="53"/>
      <c r="T353" s="48"/>
      <c r="U353" s="49"/>
      <c r="V353" s="50"/>
      <c r="Y353" s="51">
        <f t="shared" si="29"/>
        <v>0</v>
      </c>
      <c r="Z353" s="51">
        <f t="shared" si="34"/>
        <v>0</v>
      </c>
      <c r="AA353" s="51">
        <f t="shared" si="35"/>
        <v>0</v>
      </c>
      <c r="AB353" s="51" t="str">
        <f t="shared" si="36"/>
        <v/>
      </c>
      <c r="AC353" s="51" t="str">
        <f t="shared" si="36"/>
        <v/>
      </c>
    </row>
    <row r="354" spans="1:29" s="51" customFormat="1" ht="33.75" customHeight="1">
      <c r="A354" s="52">
        <v>333</v>
      </c>
      <c r="B354" s="342"/>
      <c r="C354" s="343"/>
      <c r="D354" s="344"/>
      <c r="E354" s="45"/>
      <c r="F354" s="53"/>
      <c r="G354" s="53"/>
      <c r="H354" s="53"/>
      <c r="I354" s="53"/>
      <c r="J354" s="169"/>
      <c r="K354" s="162"/>
      <c r="L354" s="57"/>
      <c r="M354" s="183" t="b">
        <v>0</v>
      </c>
      <c r="N354" s="342"/>
      <c r="O354" s="343"/>
      <c r="P354" s="343"/>
      <c r="Q354" s="344"/>
      <c r="R354" s="183" t="b">
        <v>0</v>
      </c>
      <c r="S354" s="53"/>
      <c r="T354" s="48"/>
      <c r="U354" s="49"/>
      <c r="V354" s="50"/>
      <c r="Y354" s="51">
        <f t="shared" si="29"/>
        <v>0</v>
      </c>
      <c r="Z354" s="51">
        <f t="shared" si="34"/>
        <v>0</v>
      </c>
      <c r="AA354" s="51">
        <f t="shared" si="35"/>
        <v>0</v>
      </c>
      <c r="AB354" s="51" t="str">
        <f t="shared" si="36"/>
        <v/>
      </c>
      <c r="AC354" s="51" t="str">
        <f t="shared" si="36"/>
        <v/>
      </c>
    </row>
    <row r="355" spans="1:29" s="51" customFormat="1" ht="33.75" customHeight="1">
      <c r="A355" s="52">
        <v>334</v>
      </c>
      <c r="B355" s="342"/>
      <c r="C355" s="343"/>
      <c r="D355" s="344"/>
      <c r="E355" s="45"/>
      <c r="F355" s="53"/>
      <c r="G355" s="53"/>
      <c r="H355" s="53"/>
      <c r="I355" s="53"/>
      <c r="J355" s="169"/>
      <c r="K355" s="162"/>
      <c r="L355" s="57"/>
      <c r="M355" s="183" t="b">
        <v>0</v>
      </c>
      <c r="N355" s="342"/>
      <c r="O355" s="343"/>
      <c r="P355" s="343"/>
      <c r="Q355" s="344"/>
      <c r="R355" s="183" t="b">
        <v>0</v>
      </c>
      <c r="S355" s="53"/>
      <c r="T355" s="48"/>
      <c r="U355" s="49"/>
      <c r="V355" s="50"/>
      <c r="Y355" s="51">
        <f t="shared" si="29"/>
        <v>0</v>
      </c>
      <c r="Z355" s="51">
        <f t="shared" si="34"/>
        <v>0</v>
      </c>
      <c r="AA355" s="51">
        <f t="shared" si="35"/>
        <v>0</v>
      </c>
      <c r="AB355" s="51" t="str">
        <f t="shared" si="36"/>
        <v/>
      </c>
      <c r="AC355" s="51" t="str">
        <f t="shared" si="36"/>
        <v/>
      </c>
    </row>
    <row r="356" spans="1:29" s="51" customFormat="1" ht="33.75" customHeight="1">
      <c r="A356" s="52">
        <v>335</v>
      </c>
      <c r="B356" s="342"/>
      <c r="C356" s="343"/>
      <c r="D356" s="344"/>
      <c r="E356" s="45"/>
      <c r="F356" s="53"/>
      <c r="G356" s="53"/>
      <c r="H356" s="53"/>
      <c r="I356" s="53"/>
      <c r="J356" s="169"/>
      <c r="K356" s="162"/>
      <c r="L356" s="57"/>
      <c r="M356" s="183" t="b">
        <v>0</v>
      </c>
      <c r="N356" s="342"/>
      <c r="O356" s="343"/>
      <c r="P356" s="343"/>
      <c r="Q356" s="344"/>
      <c r="R356" s="183" t="b">
        <v>0</v>
      </c>
      <c r="S356" s="53"/>
      <c r="T356" s="48"/>
      <c r="U356" s="49"/>
      <c r="V356" s="50"/>
      <c r="Y356" s="51">
        <f t="shared" si="29"/>
        <v>0</v>
      </c>
      <c r="Z356" s="51">
        <f t="shared" si="34"/>
        <v>0</v>
      </c>
      <c r="AA356" s="51">
        <f t="shared" si="35"/>
        <v>0</v>
      </c>
      <c r="AB356" s="51" t="str">
        <f t="shared" si="36"/>
        <v/>
      </c>
      <c r="AC356" s="51" t="str">
        <f t="shared" si="36"/>
        <v/>
      </c>
    </row>
    <row r="357" spans="1:29" s="51" customFormat="1" ht="33.75" customHeight="1">
      <c r="A357" s="52">
        <v>336</v>
      </c>
      <c r="B357" s="342"/>
      <c r="C357" s="343"/>
      <c r="D357" s="344"/>
      <c r="E357" s="45"/>
      <c r="F357" s="53"/>
      <c r="G357" s="53"/>
      <c r="H357" s="53"/>
      <c r="I357" s="53"/>
      <c r="J357" s="169"/>
      <c r="K357" s="162"/>
      <c r="L357" s="57"/>
      <c r="M357" s="183" t="b">
        <v>0</v>
      </c>
      <c r="N357" s="342"/>
      <c r="O357" s="343"/>
      <c r="P357" s="343"/>
      <c r="Q357" s="344"/>
      <c r="R357" s="183" t="b">
        <v>0</v>
      </c>
      <c r="S357" s="53"/>
      <c r="T357" s="48"/>
      <c r="U357" s="49"/>
      <c r="V357" s="50"/>
      <c r="Y357" s="51">
        <f t="shared" si="29"/>
        <v>0</v>
      </c>
      <c r="Z357" s="51">
        <f t="shared" si="34"/>
        <v>0</v>
      </c>
      <c r="AA357" s="51">
        <f t="shared" si="35"/>
        <v>0</v>
      </c>
      <c r="AB357" s="51" t="str">
        <f t="shared" si="36"/>
        <v/>
      </c>
      <c r="AC357" s="51" t="str">
        <f t="shared" si="36"/>
        <v/>
      </c>
    </row>
    <row r="358" spans="1:29" s="51" customFormat="1" ht="33.75" customHeight="1">
      <c r="A358" s="52">
        <v>337</v>
      </c>
      <c r="B358" s="342"/>
      <c r="C358" s="343"/>
      <c r="D358" s="344"/>
      <c r="E358" s="45"/>
      <c r="F358" s="53"/>
      <c r="G358" s="53"/>
      <c r="H358" s="53"/>
      <c r="I358" s="53"/>
      <c r="J358" s="169"/>
      <c r="K358" s="162"/>
      <c r="L358" s="57"/>
      <c r="M358" s="183" t="b">
        <v>0</v>
      </c>
      <c r="N358" s="342"/>
      <c r="O358" s="343"/>
      <c r="P358" s="343"/>
      <c r="Q358" s="344"/>
      <c r="R358" s="183" t="b">
        <v>0</v>
      </c>
      <c r="S358" s="53"/>
      <c r="T358" s="48"/>
      <c r="U358" s="49"/>
      <c r="V358" s="50"/>
      <c r="Y358" s="51">
        <f t="shared" si="29"/>
        <v>0</v>
      </c>
      <c r="Z358" s="51">
        <f t="shared" si="34"/>
        <v>0</v>
      </c>
      <c r="AA358" s="51">
        <f t="shared" si="35"/>
        <v>0</v>
      </c>
      <c r="AB358" s="51" t="str">
        <f t="shared" si="36"/>
        <v/>
      </c>
      <c r="AC358" s="51" t="str">
        <f t="shared" si="36"/>
        <v/>
      </c>
    </row>
    <row r="359" spans="1:29" s="51" customFormat="1" ht="33.75" customHeight="1">
      <c r="A359" s="52">
        <v>338</v>
      </c>
      <c r="B359" s="342"/>
      <c r="C359" s="343"/>
      <c r="D359" s="344"/>
      <c r="E359" s="45"/>
      <c r="F359" s="53"/>
      <c r="G359" s="53"/>
      <c r="H359" s="53"/>
      <c r="I359" s="53"/>
      <c r="J359" s="169"/>
      <c r="K359" s="162"/>
      <c r="L359" s="57"/>
      <c r="M359" s="183" t="b">
        <v>0</v>
      </c>
      <c r="N359" s="342"/>
      <c r="O359" s="343"/>
      <c r="P359" s="343"/>
      <c r="Q359" s="344"/>
      <c r="R359" s="183" t="b">
        <v>0</v>
      </c>
      <c r="S359" s="53"/>
      <c r="T359" s="48"/>
      <c r="U359" s="49"/>
      <c r="V359" s="50"/>
      <c r="Y359" s="51">
        <f t="shared" si="29"/>
        <v>0</v>
      </c>
      <c r="Z359" s="51">
        <f t="shared" si="34"/>
        <v>0</v>
      </c>
      <c r="AA359" s="51">
        <f t="shared" si="35"/>
        <v>0</v>
      </c>
      <c r="AB359" s="51" t="str">
        <f t="shared" si="36"/>
        <v/>
      </c>
      <c r="AC359" s="51" t="str">
        <f t="shared" si="36"/>
        <v/>
      </c>
    </row>
    <row r="360" spans="1:29" s="51" customFormat="1" ht="33.75" customHeight="1">
      <c r="A360" s="52">
        <v>339</v>
      </c>
      <c r="B360" s="342"/>
      <c r="C360" s="343"/>
      <c r="D360" s="344"/>
      <c r="E360" s="45"/>
      <c r="F360" s="53"/>
      <c r="G360" s="53"/>
      <c r="H360" s="53"/>
      <c r="I360" s="53"/>
      <c r="J360" s="169"/>
      <c r="K360" s="162"/>
      <c r="L360" s="57"/>
      <c r="M360" s="183" t="b">
        <v>0</v>
      </c>
      <c r="N360" s="342"/>
      <c r="O360" s="343"/>
      <c r="P360" s="343"/>
      <c r="Q360" s="344"/>
      <c r="R360" s="183" t="b">
        <v>0</v>
      </c>
      <c r="S360" s="53"/>
      <c r="T360" s="48"/>
      <c r="U360" s="49"/>
      <c r="V360" s="50"/>
      <c r="Y360" s="51">
        <f t="shared" si="29"/>
        <v>0</v>
      </c>
      <c r="Z360" s="51">
        <f t="shared" si="34"/>
        <v>0</v>
      </c>
      <c r="AA360" s="51">
        <f t="shared" si="35"/>
        <v>0</v>
      </c>
      <c r="AB360" s="51" t="str">
        <f t="shared" si="36"/>
        <v/>
      </c>
      <c r="AC360" s="51" t="str">
        <f t="shared" si="36"/>
        <v/>
      </c>
    </row>
    <row r="361" spans="1:29" s="51" customFormat="1" ht="33.75" customHeight="1">
      <c r="A361" s="52">
        <v>340</v>
      </c>
      <c r="B361" s="342"/>
      <c r="C361" s="343"/>
      <c r="D361" s="344"/>
      <c r="E361" s="45"/>
      <c r="F361" s="53"/>
      <c r="G361" s="53"/>
      <c r="H361" s="53"/>
      <c r="I361" s="53"/>
      <c r="J361" s="169"/>
      <c r="K361" s="162"/>
      <c r="L361" s="57"/>
      <c r="M361" s="183" t="b">
        <v>0</v>
      </c>
      <c r="N361" s="342"/>
      <c r="O361" s="343"/>
      <c r="P361" s="343"/>
      <c r="Q361" s="344"/>
      <c r="R361" s="183" t="b">
        <v>0</v>
      </c>
      <c r="S361" s="53"/>
      <c r="T361" s="48"/>
      <c r="U361" s="49"/>
      <c r="V361" s="50"/>
      <c r="Y361" s="51">
        <f t="shared" si="29"/>
        <v>0</v>
      </c>
      <c r="Z361" s="51">
        <f t="shared" si="34"/>
        <v>0</v>
      </c>
      <c r="AA361" s="51">
        <f t="shared" si="35"/>
        <v>0</v>
      </c>
      <c r="AB361" s="51" t="str">
        <f t="shared" si="36"/>
        <v/>
      </c>
      <c r="AC361" s="51" t="str">
        <f t="shared" si="36"/>
        <v/>
      </c>
    </row>
    <row r="362" spans="1:29" s="51" customFormat="1" ht="33.75" customHeight="1">
      <c r="A362" s="52">
        <v>341</v>
      </c>
      <c r="B362" s="342"/>
      <c r="C362" s="343"/>
      <c r="D362" s="344"/>
      <c r="E362" s="45"/>
      <c r="F362" s="53"/>
      <c r="G362" s="53"/>
      <c r="H362" s="53"/>
      <c r="I362" s="53"/>
      <c r="J362" s="169"/>
      <c r="K362" s="162"/>
      <c r="L362" s="57"/>
      <c r="M362" s="183" t="b">
        <v>0</v>
      </c>
      <c r="N362" s="342"/>
      <c r="O362" s="343"/>
      <c r="P362" s="343"/>
      <c r="Q362" s="344"/>
      <c r="R362" s="183" t="b">
        <v>0</v>
      </c>
      <c r="S362" s="53"/>
      <c r="T362" s="48"/>
      <c r="U362" s="49"/>
      <c r="V362" s="50"/>
      <c r="Y362" s="51">
        <f t="shared" si="29"/>
        <v>0</v>
      </c>
      <c r="Z362" s="51">
        <f t="shared" si="34"/>
        <v>0</v>
      </c>
      <c r="AA362" s="51">
        <f t="shared" si="35"/>
        <v>0</v>
      </c>
      <c r="AB362" s="51" t="str">
        <f t="shared" si="36"/>
        <v/>
      </c>
      <c r="AC362" s="51" t="str">
        <f t="shared" si="36"/>
        <v/>
      </c>
    </row>
    <row r="363" spans="1:29" s="51" customFormat="1" ht="33.75" customHeight="1">
      <c r="A363" s="52">
        <v>342</v>
      </c>
      <c r="B363" s="342"/>
      <c r="C363" s="343"/>
      <c r="D363" s="344"/>
      <c r="E363" s="45"/>
      <c r="F363" s="53"/>
      <c r="G363" s="53"/>
      <c r="H363" s="53"/>
      <c r="I363" s="53"/>
      <c r="J363" s="169"/>
      <c r="K363" s="162"/>
      <c r="L363" s="57"/>
      <c r="M363" s="183" t="b">
        <v>0</v>
      </c>
      <c r="N363" s="342"/>
      <c r="O363" s="343"/>
      <c r="P363" s="343"/>
      <c r="Q363" s="344"/>
      <c r="R363" s="183" t="b">
        <v>0</v>
      </c>
      <c r="S363" s="53"/>
      <c r="T363" s="48"/>
      <c r="U363" s="49"/>
      <c r="V363" s="50"/>
      <c r="Y363" s="51">
        <f t="shared" si="29"/>
        <v>0</v>
      </c>
      <c r="Z363" s="51">
        <f t="shared" si="34"/>
        <v>0</v>
      </c>
      <c r="AA363" s="51">
        <f t="shared" si="35"/>
        <v>0</v>
      </c>
      <c r="AB363" s="51" t="str">
        <f t="shared" si="36"/>
        <v/>
      </c>
      <c r="AC363" s="51" t="str">
        <f t="shared" si="36"/>
        <v/>
      </c>
    </row>
    <row r="364" spans="1:29" s="51" customFormat="1" ht="33.75" customHeight="1">
      <c r="A364" s="52">
        <v>343</v>
      </c>
      <c r="B364" s="342"/>
      <c r="C364" s="343"/>
      <c r="D364" s="344"/>
      <c r="E364" s="45"/>
      <c r="F364" s="53"/>
      <c r="G364" s="53"/>
      <c r="H364" s="53"/>
      <c r="I364" s="53"/>
      <c r="J364" s="169"/>
      <c r="K364" s="162"/>
      <c r="L364" s="57"/>
      <c r="M364" s="183" t="b">
        <v>0</v>
      </c>
      <c r="N364" s="342"/>
      <c r="O364" s="343"/>
      <c r="P364" s="343"/>
      <c r="Q364" s="344"/>
      <c r="R364" s="183" t="b">
        <v>0</v>
      </c>
      <c r="S364" s="53"/>
      <c r="T364" s="48"/>
      <c r="U364" s="49"/>
      <c r="V364" s="50"/>
      <c r="Y364" s="51">
        <f t="shared" si="29"/>
        <v>0</v>
      </c>
      <c r="Z364" s="51">
        <f t="shared" si="34"/>
        <v>0</v>
      </c>
      <c r="AA364" s="51">
        <f t="shared" si="35"/>
        <v>0</v>
      </c>
      <c r="AB364" s="51" t="str">
        <f t="shared" si="36"/>
        <v/>
      </c>
      <c r="AC364" s="51" t="str">
        <f t="shared" si="36"/>
        <v/>
      </c>
    </row>
    <row r="365" spans="1:29" s="51" customFormat="1" ht="33.75" customHeight="1">
      <c r="A365" s="52">
        <v>344</v>
      </c>
      <c r="B365" s="342"/>
      <c r="C365" s="343"/>
      <c r="D365" s="344"/>
      <c r="E365" s="45"/>
      <c r="F365" s="53"/>
      <c r="G365" s="53"/>
      <c r="H365" s="53"/>
      <c r="I365" s="53"/>
      <c r="J365" s="169"/>
      <c r="K365" s="162"/>
      <c r="L365" s="57"/>
      <c r="M365" s="183" t="b">
        <v>0</v>
      </c>
      <c r="N365" s="342"/>
      <c r="O365" s="343"/>
      <c r="P365" s="343"/>
      <c r="Q365" s="344"/>
      <c r="R365" s="183" t="b">
        <v>0</v>
      </c>
      <c r="S365" s="53"/>
      <c r="T365" s="48"/>
      <c r="U365" s="49"/>
      <c r="V365" s="50"/>
      <c r="Y365" s="51">
        <f t="shared" si="29"/>
        <v>0</v>
      </c>
      <c r="Z365" s="51">
        <f t="shared" si="34"/>
        <v>0</v>
      </c>
      <c r="AA365" s="51">
        <f t="shared" si="35"/>
        <v>0</v>
      </c>
      <c r="AB365" s="51" t="str">
        <f t="shared" si="36"/>
        <v/>
      </c>
      <c r="AC365" s="51" t="str">
        <f t="shared" si="36"/>
        <v/>
      </c>
    </row>
    <row r="366" spans="1:29" s="51" customFormat="1" ht="33.75" customHeight="1">
      <c r="A366" s="52">
        <v>345</v>
      </c>
      <c r="B366" s="342"/>
      <c r="C366" s="343"/>
      <c r="D366" s="344"/>
      <c r="E366" s="45"/>
      <c r="F366" s="53"/>
      <c r="G366" s="53"/>
      <c r="H366" s="53"/>
      <c r="I366" s="53"/>
      <c r="J366" s="169"/>
      <c r="K366" s="162"/>
      <c r="L366" s="57"/>
      <c r="M366" s="183" t="b">
        <v>0</v>
      </c>
      <c r="N366" s="342"/>
      <c r="O366" s="343"/>
      <c r="P366" s="343"/>
      <c r="Q366" s="344"/>
      <c r="R366" s="183" t="b">
        <v>0</v>
      </c>
      <c r="S366" s="53"/>
      <c r="T366" s="48"/>
      <c r="U366" s="49"/>
      <c r="V366" s="50"/>
      <c r="Y366" s="51">
        <f t="shared" si="29"/>
        <v>0</v>
      </c>
      <c r="Z366" s="51">
        <f t="shared" si="34"/>
        <v>0</v>
      </c>
      <c r="AA366" s="51">
        <f t="shared" si="35"/>
        <v>0</v>
      </c>
      <c r="AB366" s="51" t="str">
        <f t="shared" si="36"/>
        <v/>
      </c>
      <c r="AC366" s="51" t="str">
        <f t="shared" si="36"/>
        <v/>
      </c>
    </row>
    <row r="367" spans="1:29" s="51" customFormat="1" ht="33.75" customHeight="1">
      <c r="A367" s="52">
        <v>346</v>
      </c>
      <c r="B367" s="342"/>
      <c r="C367" s="343"/>
      <c r="D367" s="344"/>
      <c r="E367" s="45"/>
      <c r="F367" s="53"/>
      <c r="G367" s="53"/>
      <c r="H367" s="53"/>
      <c r="I367" s="53"/>
      <c r="J367" s="169"/>
      <c r="K367" s="162"/>
      <c r="L367" s="57"/>
      <c r="M367" s="183" t="b">
        <v>0</v>
      </c>
      <c r="N367" s="342"/>
      <c r="O367" s="343"/>
      <c r="P367" s="343"/>
      <c r="Q367" s="344"/>
      <c r="R367" s="183" t="b">
        <v>0</v>
      </c>
      <c r="S367" s="53"/>
      <c r="T367" s="48"/>
      <c r="U367" s="49"/>
      <c r="V367" s="50"/>
      <c r="Y367" s="51">
        <f t="shared" si="29"/>
        <v>0</v>
      </c>
      <c r="Z367" s="51">
        <f t="shared" si="34"/>
        <v>0</v>
      </c>
      <c r="AA367" s="51">
        <f t="shared" si="35"/>
        <v>0</v>
      </c>
      <c r="AB367" s="51" t="str">
        <f t="shared" si="36"/>
        <v/>
      </c>
      <c r="AC367" s="51" t="str">
        <f t="shared" si="36"/>
        <v/>
      </c>
    </row>
    <row r="368" spans="1:29" s="51" customFormat="1" ht="33.75" customHeight="1">
      <c r="A368" s="52">
        <v>347</v>
      </c>
      <c r="B368" s="342"/>
      <c r="C368" s="343"/>
      <c r="D368" s="344"/>
      <c r="E368" s="45"/>
      <c r="F368" s="53"/>
      <c r="G368" s="53"/>
      <c r="H368" s="53"/>
      <c r="I368" s="53"/>
      <c r="J368" s="169"/>
      <c r="K368" s="162"/>
      <c r="L368" s="57"/>
      <c r="M368" s="183" t="b">
        <v>0</v>
      </c>
      <c r="N368" s="342"/>
      <c r="O368" s="343"/>
      <c r="P368" s="343"/>
      <c r="Q368" s="344"/>
      <c r="R368" s="183" t="b">
        <v>0</v>
      </c>
      <c r="S368" s="53"/>
      <c r="T368" s="48"/>
      <c r="U368" s="49"/>
      <c r="V368" s="50"/>
      <c r="Y368" s="51">
        <f t="shared" si="29"/>
        <v>0</v>
      </c>
      <c r="Z368" s="51">
        <f t="shared" si="34"/>
        <v>0</v>
      </c>
      <c r="AA368" s="51">
        <f t="shared" si="35"/>
        <v>0</v>
      </c>
      <c r="AB368" s="51" t="str">
        <f t="shared" si="36"/>
        <v/>
      </c>
      <c r="AC368" s="51" t="str">
        <f t="shared" si="36"/>
        <v/>
      </c>
    </row>
    <row r="369" spans="1:29" s="51" customFormat="1" ht="33.75" customHeight="1">
      <c r="A369" s="52">
        <v>348</v>
      </c>
      <c r="B369" s="342"/>
      <c r="C369" s="343"/>
      <c r="D369" s="344"/>
      <c r="E369" s="45"/>
      <c r="F369" s="53"/>
      <c r="G369" s="53"/>
      <c r="H369" s="53"/>
      <c r="I369" s="53"/>
      <c r="J369" s="169"/>
      <c r="K369" s="162"/>
      <c r="L369" s="57"/>
      <c r="M369" s="183" t="b">
        <v>0</v>
      </c>
      <c r="N369" s="342"/>
      <c r="O369" s="343"/>
      <c r="P369" s="343"/>
      <c r="Q369" s="344"/>
      <c r="R369" s="183" t="b">
        <v>0</v>
      </c>
      <c r="S369" s="53"/>
      <c r="T369" s="48"/>
      <c r="U369" s="49"/>
      <c r="V369" s="50"/>
      <c r="Y369" s="51">
        <f t="shared" si="29"/>
        <v>0</v>
      </c>
      <c r="Z369" s="51">
        <f t="shared" si="34"/>
        <v>0</v>
      </c>
      <c r="AA369" s="51">
        <f t="shared" si="35"/>
        <v>0</v>
      </c>
      <c r="AB369" s="51" t="str">
        <f t="shared" si="36"/>
        <v/>
      </c>
      <c r="AC369" s="51" t="str">
        <f t="shared" si="36"/>
        <v/>
      </c>
    </row>
    <row r="370" spans="1:29" s="51" customFormat="1" ht="33.75" customHeight="1">
      <c r="A370" s="52">
        <v>349</v>
      </c>
      <c r="B370" s="342"/>
      <c r="C370" s="343"/>
      <c r="D370" s="344"/>
      <c r="E370" s="45"/>
      <c r="F370" s="53"/>
      <c r="G370" s="53"/>
      <c r="H370" s="53"/>
      <c r="I370" s="53"/>
      <c r="J370" s="169"/>
      <c r="K370" s="162"/>
      <c r="L370" s="57"/>
      <c r="M370" s="183" t="b">
        <v>0</v>
      </c>
      <c r="N370" s="342"/>
      <c r="O370" s="343"/>
      <c r="P370" s="343"/>
      <c r="Q370" s="344"/>
      <c r="R370" s="183" t="b">
        <v>0</v>
      </c>
      <c r="S370" s="53"/>
      <c r="T370" s="48"/>
      <c r="U370" s="49"/>
      <c r="V370" s="50"/>
      <c r="Y370" s="51">
        <f t="shared" si="29"/>
        <v>0</v>
      </c>
      <c r="Z370" s="51">
        <f t="shared" si="34"/>
        <v>0</v>
      </c>
      <c r="AA370" s="51">
        <f t="shared" si="35"/>
        <v>0</v>
      </c>
      <c r="AB370" s="51" t="str">
        <f t="shared" si="36"/>
        <v/>
      </c>
      <c r="AC370" s="51" t="str">
        <f t="shared" si="36"/>
        <v/>
      </c>
    </row>
    <row r="371" spans="1:29" s="51" customFormat="1" ht="33.75" customHeight="1">
      <c r="A371" s="52">
        <v>350</v>
      </c>
      <c r="B371" s="342"/>
      <c r="C371" s="343"/>
      <c r="D371" s="344"/>
      <c r="E371" s="45"/>
      <c r="F371" s="53"/>
      <c r="G371" s="53"/>
      <c r="H371" s="53"/>
      <c r="I371" s="53"/>
      <c r="J371" s="169"/>
      <c r="K371" s="162"/>
      <c r="L371" s="57"/>
      <c r="M371" s="183" t="b">
        <v>0</v>
      </c>
      <c r="N371" s="342"/>
      <c r="O371" s="343"/>
      <c r="P371" s="343"/>
      <c r="Q371" s="344"/>
      <c r="R371" s="183" t="b">
        <v>0</v>
      </c>
      <c r="S371" s="53"/>
      <c r="T371" s="48"/>
      <c r="U371" s="49"/>
      <c r="V371" s="50"/>
      <c r="Y371" s="51">
        <f t="shared" si="29"/>
        <v>0</v>
      </c>
      <c r="Z371" s="51">
        <f t="shared" si="34"/>
        <v>0</v>
      </c>
      <c r="AA371" s="51">
        <f t="shared" si="35"/>
        <v>0</v>
      </c>
      <c r="AB371" s="51" t="str">
        <f t="shared" si="36"/>
        <v/>
      </c>
      <c r="AC371" s="51" t="str">
        <f t="shared" si="36"/>
        <v/>
      </c>
    </row>
    <row r="372" spans="1:29" s="51" customFormat="1" ht="33.75" customHeight="1">
      <c r="A372" s="52">
        <v>351</v>
      </c>
      <c r="B372" s="342"/>
      <c r="C372" s="343"/>
      <c r="D372" s="344"/>
      <c r="E372" s="45"/>
      <c r="F372" s="53"/>
      <c r="G372" s="53"/>
      <c r="H372" s="53"/>
      <c r="I372" s="53"/>
      <c r="J372" s="169"/>
      <c r="K372" s="162"/>
      <c r="L372" s="57"/>
      <c r="M372" s="183" t="b">
        <v>0</v>
      </c>
      <c r="N372" s="342"/>
      <c r="O372" s="343"/>
      <c r="P372" s="343"/>
      <c r="Q372" s="344"/>
      <c r="R372" s="183" t="b">
        <v>0</v>
      </c>
      <c r="S372" s="53"/>
      <c r="T372" s="48"/>
      <c r="U372" s="49"/>
      <c r="V372" s="50"/>
      <c r="Y372" s="51">
        <f t="shared" si="29"/>
        <v>0</v>
      </c>
      <c r="Z372" s="51">
        <f t="shared" si="34"/>
        <v>0</v>
      </c>
      <c r="AA372" s="51">
        <f t="shared" si="35"/>
        <v>0</v>
      </c>
      <c r="AB372" s="51" t="str">
        <f t="shared" si="36"/>
        <v/>
      </c>
      <c r="AC372" s="51" t="str">
        <f t="shared" si="36"/>
        <v/>
      </c>
    </row>
    <row r="373" spans="1:29" s="51" customFormat="1" ht="33.75" customHeight="1">
      <c r="A373" s="52">
        <v>352</v>
      </c>
      <c r="B373" s="342"/>
      <c r="C373" s="343"/>
      <c r="D373" s="344"/>
      <c r="E373" s="45"/>
      <c r="F373" s="53"/>
      <c r="G373" s="53"/>
      <c r="H373" s="53"/>
      <c r="I373" s="53"/>
      <c r="J373" s="169"/>
      <c r="K373" s="162"/>
      <c r="L373" s="57"/>
      <c r="M373" s="183" t="b">
        <v>0</v>
      </c>
      <c r="N373" s="342"/>
      <c r="O373" s="343"/>
      <c r="P373" s="343"/>
      <c r="Q373" s="344"/>
      <c r="R373" s="183" t="b">
        <v>0</v>
      </c>
      <c r="S373" s="53"/>
      <c r="T373" s="48"/>
      <c r="U373" s="49"/>
      <c r="V373" s="50"/>
      <c r="Y373" s="51">
        <f t="shared" si="29"/>
        <v>0</v>
      </c>
      <c r="Z373" s="51">
        <f t="shared" si="34"/>
        <v>0</v>
      </c>
      <c r="AA373" s="51">
        <f t="shared" si="35"/>
        <v>0</v>
      </c>
      <c r="AB373" s="51" t="str">
        <f t="shared" si="36"/>
        <v/>
      </c>
      <c r="AC373" s="51" t="str">
        <f t="shared" si="36"/>
        <v/>
      </c>
    </row>
    <row r="374" spans="1:29" s="51" customFormat="1" ht="33.75" customHeight="1">
      <c r="A374" s="52">
        <v>353</v>
      </c>
      <c r="B374" s="342"/>
      <c r="C374" s="343"/>
      <c r="D374" s="344"/>
      <c r="E374" s="45"/>
      <c r="F374" s="53"/>
      <c r="G374" s="53"/>
      <c r="H374" s="53"/>
      <c r="I374" s="53"/>
      <c r="J374" s="169"/>
      <c r="K374" s="162"/>
      <c r="L374" s="57"/>
      <c r="M374" s="183" t="b">
        <v>0</v>
      </c>
      <c r="N374" s="342"/>
      <c r="O374" s="343"/>
      <c r="P374" s="343"/>
      <c r="Q374" s="344"/>
      <c r="R374" s="183" t="b">
        <v>0</v>
      </c>
      <c r="S374" s="53"/>
      <c r="T374" s="48"/>
      <c r="U374" s="49"/>
      <c r="V374" s="50"/>
      <c r="Y374" s="51">
        <f t="shared" si="29"/>
        <v>0</v>
      </c>
      <c r="Z374" s="51">
        <f t="shared" si="34"/>
        <v>0</v>
      </c>
      <c r="AA374" s="51">
        <f t="shared" si="35"/>
        <v>0</v>
      </c>
      <c r="AB374" s="51" t="str">
        <f t="shared" si="36"/>
        <v/>
      </c>
      <c r="AC374" s="51" t="str">
        <f t="shared" si="36"/>
        <v/>
      </c>
    </row>
    <row r="375" spans="1:29" s="51" customFormat="1" ht="33.75" customHeight="1">
      <c r="A375" s="52">
        <v>354</v>
      </c>
      <c r="B375" s="342"/>
      <c r="C375" s="343"/>
      <c r="D375" s="344"/>
      <c r="E375" s="45"/>
      <c r="F375" s="53"/>
      <c r="G375" s="53"/>
      <c r="H375" s="53"/>
      <c r="I375" s="53"/>
      <c r="J375" s="169"/>
      <c r="K375" s="162"/>
      <c r="L375" s="57"/>
      <c r="M375" s="183" t="b">
        <v>0</v>
      </c>
      <c r="N375" s="342"/>
      <c r="O375" s="343"/>
      <c r="P375" s="343"/>
      <c r="Q375" s="344"/>
      <c r="R375" s="183" t="b">
        <v>0</v>
      </c>
      <c r="S375" s="53"/>
      <c r="T375" s="48"/>
      <c r="U375" s="49"/>
      <c r="V375" s="50"/>
      <c r="Y375" s="51">
        <f t="shared" si="29"/>
        <v>0</v>
      </c>
      <c r="Z375" s="51">
        <f t="shared" si="34"/>
        <v>0</v>
      </c>
      <c r="AA375" s="51">
        <f t="shared" si="35"/>
        <v>0</v>
      </c>
      <c r="AB375" s="51" t="str">
        <f t="shared" si="36"/>
        <v/>
      </c>
      <c r="AC375" s="51" t="str">
        <f t="shared" si="36"/>
        <v/>
      </c>
    </row>
    <row r="376" spans="1:29" s="51" customFormat="1" ht="33.75" customHeight="1">
      <c r="A376" s="52">
        <v>355</v>
      </c>
      <c r="B376" s="342"/>
      <c r="C376" s="343"/>
      <c r="D376" s="344"/>
      <c r="E376" s="45"/>
      <c r="F376" s="53"/>
      <c r="G376" s="53"/>
      <c r="H376" s="53"/>
      <c r="I376" s="53"/>
      <c r="J376" s="169"/>
      <c r="K376" s="162"/>
      <c r="L376" s="57"/>
      <c r="M376" s="183" t="b">
        <v>0</v>
      </c>
      <c r="N376" s="342"/>
      <c r="O376" s="343"/>
      <c r="P376" s="343"/>
      <c r="Q376" s="344"/>
      <c r="R376" s="183" t="b">
        <v>0</v>
      </c>
      <c r="S376" s="53"/>
      <c r="T376" s="48"/>
      <c r="U376" s="49"/>
      <c r="V376" s="50"/>
      <c r="Y376" s="51">
        <f t="shared" si="29"/>
        <v>0</v>
      </c>
      <c r="Z376" s="51">
        <f t="shared" si="34"/>
        <v>0</v>
      </c>
      <c r="AA376" s="51">
        <f t="shared" si="35"/>
        <v>0</v>
      </c>
      <c r="AB376" s="51" t="str">
        <f t="shared" si="36"/>
        <v/>
      </c>
      <c r="AC376" s="51" t="str">
        <f t="shared" si="36"/>
        <v/>
      </c>
    </row>
    <row r="377" spans="1:29" s="51" customFormat="1" ht="33.75" customHeight="1">
      <c r="A377" s="52">
        <v>356</v>
      </c>
      <c r="B377" s="342"/>
      <c r="C377" s="343"/>
      <c r="D377" s="344"/>
      <c r="E377" s="45"/>
      <c r="F377" s="53"/>
      <c r="G377" s="53"/>
      <c r="H377" s="53"/>
      <c r="I377" s="53"/>
      <c r="J377" s="169"/>
      <c r="K377" s="162"/>
      <c r="L377" s="57"/>
      <c r="M377" s="183" t="b">
        <v>0</v>
      </c>
      <c r="N377" s="342"/>
      <c r="O377" s="343"/>
      <c r="P377" s="343"/>
      <c r="Q377" s="344"/>
      <c r="R377" s="183" t="b">
        <v>0</v>
      </c>
      <c r="S377" s="53"/>
      <c r="T377" s="48"/>
      <c r="U377" s="49"/>
      <c r="V377" s="50"/>
      <c r="Y377" s="51">
        <f t="shared" si="29"/>
        <v>0</v>
      </c>
      <c r="Z377" s="51">
        <f t="shared" si="34"/>
        <v>0</v>
      </c>
      <c r="AA377" s="51">
        <f t="shared" si="35"/>
        <v>0</v>
      </c>
      <c r="AB377" s="51" t="str">
        <f t="shared" si="36"/>
        <v/>
      </c>
      <c r="AC377" s="51" t="str">
        <f t="shared" si="36"/>
        <v/>
      </c>
    </row>
    <row r="378" spans="1:29" s="51" customFormat="1" ht="33.75" customHeight="1">
      <c r="A378" s="52">
        <v>357</v>
      </c>
      <c r="B378" s="342"/>
      <c r="C378" s="343"/>
      <c r="D378" s="344"/>
      <c r="E378" s="45"/>
      <c r="F378" s="53"/>
      <c r="G378" s="53"/>
      <c r="H378" s="53"/>
      <c r="I378" s="53"/>
      <c r="J378" s="169"/>
      <c r="K378" s="162"/>
      <c r="L378" s="57"/>
      <c r="M378" s="183" t="b">
        <v>0</v>
      </c>
      <c r="N378" s="342"/>
      <c r="O378" s="343"/>
      <c r="P378" s="343"/>
      <c r="Q378" s="344"/>
      <c r="R378" s="183" t="b">
        <v>0</v>
      </c>
      <c r="S378" s="53"/>
      <c r="T378" s="48"/>
      <c r="U378" s="49"/>
      <c r="V378" s="50"/>
      <c r="Y378" s="51">
        <f t="shared" si="29"/>
        <v>0</v>
      </c>
      <c r="Z378" s="51">
        <f t="shared" si="34"/>
        <v>0</v>
      </c>
      <c r="AA378" s="51">
        <f t="shared" si="35"/>
        <v>0</v>
      </c>
      <c r="AB378" s="51" t="str">
        <f t="shared" si="36"/>
        <v/>
      </c>
      <c r="AC378" s="51" t="str">
        <f t="shared" si="36"/>
        <v/>
      </c>
    </row>
    <row r="379" spans="1:29" s="51" customFormat="1" ht="33.75" customHeight="1">
      <c r="A379" s="52">
        <v>358</v>
      </c>
      <c r="B379" s="342"/>
      <c r="C379" s="343"/>
      <c r="D379" s="344"/>
      <c r="E379" s="45"/>
      <c r="F379" s="53"/>
      <c r="G379" s="53"/>
      <c r="H379" s="53"/>
      <c r="I379" s="53"/>
      <c r="J379" s="169"/>
      <c r="K379" s="162"/>
      <c r="L379" s="57"/>
      <c r="M379" s="183" t="b">
        <v>0</v>
      </c>
      <c r="N379" s="342"/>
      <c r="O379" s="343"/>
      <c r="P379" s="343"/>
      <c r="Q379" s="344"/>
      <c r="R379" s="183" t="b">
        <v>0</v>
      </c>
      <c r="S379" s="53"/>
      <c r="T379" s="48"/>
      <c r="U379" s="49"/>
      <c r="V379" s="50"/>
      <c r="Y379" s="51">
        <f t="shared" si="29"/>
        <v>0</v>
      </c>
      <c r="Z379" s="51">
        <f t="shared" si="34"/>
        <v>0</v>
      </c>
      <c r="AA379" s="51">
        <f t="shared" si="35"/>
        <v>0</v>
      </c>
      <c r="AB379" s="51" t="str">
        <f t="shared" si="36"/>
        <v/>
      </c>
      <c r="AC379" s="51" t="str">
        <f t="shared" si="36"/>
        <v/>
      </c>
    </row>
    <row r="380" spans="1:29" s="51" customFormat="1" ht="33.75" customHeight="1">
      <c r="A380" s="52">
        <v>359</v>
      </c>
      <c r="B380" s="342"/>
      <c r="C380" s="343"/>
      <c r="D380" s="344"/>
      <c r="E380" s="45"/>
      <c r="F380" s="53"/>
      <c r="G380" s="53"/>
      <c r="H380" s="53"/>
      <c r="I380" s="53"/>
      <c r="J380" s="169"/>
      <c r="K380" s="162"/>
      <c r="L380" s="57"/>
      <c r="M380" s="183" t="b">
        <v>0</v>
      </c>
      <c r="N380" s="342"/>
      <c r="O380" s="343"/>
      <c r="P380" s="343"/>
      <c r="Q380" s="344"/>
      <c r="R380" s="183" t="b">
        <v>0</v>
      </c>
      <c r="S380" s="53"/>
      <c r="T380" s="48"/>
      <c r="U380" s="49"/>
      <c r="V380" s="50"/>
      <c r="Y380" s="51">
        <f t="shared" si="29"/>
        <v>0</v>
      </c>
      <c r="Z380" s="51">
        <f t="shared" si="34"/>
        <v>0</v>
      </c>
      <c r="AA380" s="51">
        <f t="shared" si="35"/>
        <v>0</v>
      </c>
      <c r="AB380" s="51" t="str">
        <f t="shared" si="36"/>
        <v/>
      </c>
      <c r="AC380" s="51" t="str">
        <f t="shared" si="36"/>
        <v/>
      </c>
    </row>
    <row r="381" spans="1:29" s="51" customFormat="1" ht="33.75" customHeight="1">
      <c r="A381" s="52">
        <v>360</v>
      </c>
      <c r="B381" s="342"/>
      <c r="C381" s="343"/>
      <c r="D381" s="344"/>
      <c r="E381" s="45"/>
      <c r="F381" s="53"/>
      <c r="G381" s="53"/>
      <c r="H381" s="53"/>
      <c r="I381" s="53"/>
      <c r="J381" s="169"/>
      <c r="K381" s="162"/>
      <c r="L381" s="57"/>
      <c r="M381" s="183" t="b">
        <v>0</v>
      </c>
      <c r="N381" s="342"/>
      <c r="O381" s="343"/>
      <c r="P381" s="343"/>
      <c r="Q381" s="344"/>
      <c r="R381" s="183" t="b">
        <v>0</v>
      </c>
      <c r="S381" s="53"/>
      <c r="T381" s="48"/>
      <c r="U381" s="49"/>
      <c r="V381" s="50"/>
      <c r="Y381" s="51">
        <f t="shared" si="29"/>
        <v>0</v>
      </c>
      <c r="Z381" s="51">
        <f t="shared" si="34"/>
        <v>0</v>
      </c>
      <c r="AA381" s="51">
        <f t="shared" si="35"/>
        <v>0</v>
      </c>
      <c r="AB381" s="51" t="str">
        <f t="shared" si="36"/>
        <v/>
      </c>
      <c r="AC381" s="51" t="str">
        <f t="shared" si="36"/>
        <v/>
      </c>
    </row>
    <row r="382" spans="1:29" s="51" customFormat="1" ht="33.75" customHeight="1">
      <c r="A382" s="52">
        <v>361</v>
      </c>
      <c r="B382" s="342"/>
      <c r="C382" s="343"/>
      <c r="D382" s="344"/>
      <c r="E382" s="45"/>
      <c r="F382" s="53"/>
      <c r="G382" s="53"/>
      <c r="H382" s="53"/>
      <c r="I382" s="53"/>
      <c r="J382" s="169"/>
      <c r="K382" s="162"/>
      <c r="L382" s="57"/>
      <c r="M382" s="183" t="b">
        <v>0</v>
      </c>
      <c r="N382" s="342"/>
      <c r="O382" s="343"/>
      <c r="P382" s="343"/>
      <c r="Q382" s="344"/>
      <c r="R382" s="183" t="b">
        <v>0</v>
      </c>
      <c r="S382" s="53"/>
      <c r="T382" s="48"/>
      <c r="U382" s="49"/>
      <c r="V382" s="50"/>
      <c r="Y382" s="51">
        <f t="shared" si="29"/>
        <v>0</v>
      </c>
      <c r="Z382" s="51">
        <f t="shared" si="34"/>
        <v>0</v>
      </c>
      <c r="AA382" s="51">
        <f t="shared" si="35"/>
        <v>0</v>
      </c>
      <c r="AB382" s="51" t="str">
        <f t="shared" si="36"/>
        <v/>
      </c>
      <c r="AC382" s="51" t="str">
        <f t="shared" si="36"/>
        <v/>
      </c>
    </row>
    <row r="383" spans="1:29" s="51" customFormat="1" ht="33.75" customHeight="1">
      <c r="A383" s="52">
        <v>362</v>
      </c>
      <c r="B383" s="342"/>
      <c r="C383" s="343"/>
      <c r="D383" s="344"/>
      <c r="E383" s="45"/>
      <c r="F383" s="53"/>
      <c r="G383" s="53"/>
      <c r="H383" s="53"/>
      <c r="I383" s="53"/>
      <c r="J383" s="169"/>
      <c r="K383" s="162"/>
      <c r="L383" s="57"/>
      <c r="M383" s="183" t="b">
        <v>0</v>
      </c>
      <c r="N383" s="342"/>
      <c r="O383" s="343"/>
      <c r="P383" s="343"/>
      <c r="Q383" s="344"/>
      <c r="R383" s="183" t="b">
        <v>0</v>
      </c>
      <c r="S383" s="53"/>
      <c r="T383" s="48"/>
      <c r="U383" s="49"/>
      <c r="V383" s="50"/>
      <c r="Y383" s="51">
        <f t="shared" si="29"/>
        <v>0</v>
      </c>
      <c r="Z383" s="51">
        <f t="shared" si="34"/>
        <v>0</v>
      </c>
      <c r="AA383" s="51">
        <f t="shared" si="35"/>
        <v>0</v>
      </c>
      <c r="AB383" s="51" t="str">
        <f t="shared" si="36"/>
        <v/>
      </c>
      <c r="AC383" s="51" t="str">
        <f t="shared" si="36"/>
        <v/>
      </c>
    </row>
    <row r="384" spans="1:29" s="51" customFormat="1" ht="33.75" customHeight="1">
      <c r="A384" s="52">
        <v>363</v>
      </c>
      <c r="B384" s="342"/>
      <c r="C384" s="343"/>
      <c r="D384" s="344"/>
      <c r="E384" s="45"/>
      <c r="F384" s="53"/>
      <c r="G384" s="53"/>
      <c r="H384" s="53"/>
      <c r="I384" s="53"/>
      <c r="J384" s="169"/>
      <c r="K384" s="162"/>
      <c r="L384" s="57"/>
      <c r="M384" s="183" t="b">
        <v>0</v>
      </c>
      <c r="N384" s="342"/>
      <c r="O384" s="343"/>
      <c r="P384" s="343"/>
      <c r="Q384" s="344"/>
      <c r="R384" s="183" t="b">
        <v>0</v>
      </c>
      <c r="S384" s="53"/>
      <c r="T384" s="48"/>
      <c r="U384" s="49"/>
      <c r="V384" s="50"/>
      <c r="Y384" s="51">
        <f t="shared" si="29"/>
        <v>0</v>
      </c>
      <c r="Z384" s="51">
        <f t="shared" si="34"/>
        <v>0</v>
      </c>
      <c r="AA384" s="51">
        <f t="shared" si="35"/>
        <v>0</v>
      </c>
      <c r="AB384" s="51" t="str">
        <f t="shared" si="36"/>
        <v/>
      </c>
      <c r="AC384" s="51" t="str">
        <f t="shared" si="36"/>
        <v/>
      </c>
    </row>
    <row r="385" spans="1:29" s="51" customFormat="1" ht="33.75" customHeight="1">
      <c r="A385" s="52">
        <v>364</v>
      </c>
      <c r="B385" s="342"/>
      <c r="C385" s="343"/>
      <c r="D385" s="344"/>
      <c r="E385" s="45"/>
      <c r="F385" s="53"/>
      <c r="G385" s="53"/>
      <c r="H385" s="53"/>
      <c r="I385" s="53"/>
      <c r="J385" s="169"/>
      <c r="K385" s="162"/>
      <c r="L385" s="57"/>
      <c r="M385" s="183" t="b">
        <v>0</v>
      </c>
      <c r="N385" s="342"/>
      <c r="O385" s="343"/>
      <c r="P385" s="343"/>
      <c r="Q385" s="344"/>
      <c r="R385" s="183" t="b">
        <v>0</v>
      </c>
      <c r="S385" s="53"/>
      <c r="T385" s="48"/>
      <c r="U385" s="49"/>
      <c r="V385" s="50"/>
      <c r="Y385" s="51">
        <f t="shared" si="29"/>
        <v>0</v>
      </c>
      <c r="Z385" s="51">
        <f t="shared" si="34"/>
        <v>0</v>
      </c>
      <c r="AA385" s="51">
        <f t="shared" si="35"/>
        <v>0</v>
      </c>
      <c r="AB385" s="51" t="str">
        <f t="shared" si="36"/>
        <v/>
      </c>
      <c r="AC385" s="51" t="str">
        <f t="shared" si="36"/>
        <v/>
      </c>
    </row>
    <row r="386" spans="1:29" s="51" customFormat="1" ht="33.75" customHeight="1">
      <c r="A386" s="52">
        <v>365</v>
      </c>
      <c r="B386" s="342"/>
      <c r="C386" s="343"/>
      <c r="D386" s="344"/>
      <c r="E386" s="45"/>
      <c r="F386" s="53"/>
      <c r="G386" s="53"/>
      <c r="H386" s="53"/>
      <c r="I386" s="53"/>
      <c r="J386" s="169"/>
      <c r="K386" s="162"/>
      <c r="L386" s="57"/>
      <c r="M386" s="183" t="b">
        <v>0</v>
      </c>
      <c r="N386" s="342"/>
      <c r="O386" s="343"/>
      <c r="P386" s="343"/>
      <c r="Q386" s="344"/>
      <c r="R386" s="183" t="b">
        <v>0</v>
      </c>
      <c r="S386" s="53"/>
      <c r="T386" s="48"/>
      <c r="U386" s="49"/>
      <c r="V386" s="50"/>
      <c r="Y386" s="51">
        <f t="shared" si="29"/>
        <v>0</v>
      </c>
      <c r="Z386" s="51">
        <f t="shared" si="34"/>
        <v>0</v>
      </c>
      <c r="AA386" s="51">
        <f t="shared" si="35"/>
        <v>0</v>
      </c>
      <c r="AB386" s="51" t="str">
        <f t="shared" si="36"/>
        <v/>
      </c>
      <c r="AC386" s="51" t="str">
        <f t="shared" si="36"/>
        <v/>
      </c>
    </row>
    <row r="387" spans="1:29" s="51" customFormat="1" ht="33.75" customHeight="1">
      <c r="A387" s="52">
        <v>366</v>
      </c>
      <c r="B387" s="342"/>
      <c r="C387" s="343"/>
      <c r="D387" s="344"/>
      <c r="E387" s="45"/>
      <c r="F387" s="53"/>
      <c r="G387" s="53"/>
      <c r="H387" s="53"/>
      <c r="I387" s="53"/>
      <c r="J387" s="169"/>
      <c r="K387" s="162"/>
      <c r="L387" s="57"/>
      <c r="M387" s="183" t="b">
        <v>0</v>
      </c>
      <c r="N387" s="342"/>
      <c r="O387" s="343"/>
      <c r="P387" s="343"/>
      <c r="Q387" s="344"/>
      <c r="R387" s="183" t="b">
        <v>0</v>
      </c>
      <c r="S387" s="53"/>
      <c r="T387" s="48"/>
      <c r="U387" s="49"/>
      <c r="V387" s="50"/>
      <c r="Y387" s="51">
        <f t="shared" si="29"/>
        <v>0</v>
      </c>
      <c r="Z387" s="51">
        <f t="shared" si="34"/>
        <v>0</v>
      </c>
      <c r="AA387" s="51">
        <f t="shared" si="35"/>
        <v>0</v>
      </c>
      <c r="AB387" s="51" t="str">
        <f t="shared" si="36"/>
        <v/>
      </c>
      <c r="AC387" s="51" t="str">
        <f t="shared" si="36"/>
        <v/>
      </c>
    </row>
    <row r="388" spans="1:29" s="51" customFormat="1" ht="33.75" customHeight="1">
      <c r="A388" s="52">
        <v>367</v>
      </c>
      <c r="B388" s="342"/>
      <c r="C388" s="343"/>
      <c r="D388" s="344"/>
      <c r="E388" s="45"/>
      <c r="F388" s="53"/>
      <c r="G388" s="53"/>
      <c r="H388" s="53"/>
      <c r="I388" s="53"/>
      <c r="J388" s="169"/>
      <c r="K388" s="162"/>
      <c r="L388" s="57"/>
      <c r="M388" s="183" t="b">
        <v>0</v>
      </c>
      <c r="N388" s="342"/>
      <c r="O388" s="343"/>
      <c r="P388" s="343"/>
      <c r="Q388" s="344"/>
      <c r="R388" s="183" t="b">
        <v>0</v>
      </c>
      <c r="S388" s="53"/>
      <c r="T388" s="48"/>
      <c r="U388" s="49"/>
      <c r="V388" s="50"/>
      <c r="Y388" s="51">
        <f t="shared" si="29"/>
        <v>0</v>
      </c>
      <c r="Z388" s="51">
        <f t="shared" si="34"/>
        <v>0</v>
      </c>
      <c r="AA388" s="51">
        <f t="shared" si="35"/>
        <v>0</v>
      </c>
      <c r="AB388" s="51" t="str">
        <f t="shared" si="36"/>
        <v/>
      </c>
      <c r="AC388" s="51" t="str">
        <f t="shared" si="36"/>
        <v/>
      </c>
    </row>
    <row r="389" spans="1:29" s="51" customFormat="1" ht="33.75" customHeight="1">
      <c r="A389" s="52">
        <v>368</v>
      </c>
      <c r="B389" s="342"/>
      <c r="C389" s="343"/>
      <c r="D389" s="344"/>
      <c r="E389" s="45"/>
      <c r="F389" s="53"/>
      <c r="G389" s="53"/>
      <c r="H389" s="53"/>
      <c r="I389" s="53"/>
      <c r="J389" s="169"/>
      <c r="K389" s="162"/>
      <c r="L389" s="57"/>
      <c r="M389" s="183" t="b">
        <v>0</v>
      </c>
      <c r="N389" s="342"/>
      <c r="O389" s="343"/>
      <c r="P389" s="343"/>
      <c r="Q389" s="344"/>
      <c r="R389" s="183" t="b">
        <v>0</v>
      </c>
      <c r="S389" s="53"/>
      <c r="T389" s="48"/>
      <c r="U389" s="49"/>
      <c r="V389" s="50"/>
      <c r="Y389" s="51">
        <f t="shared" si="29"/>
        <v>0</v>
      </c>
      <c r="Z389" s="51">
        <f t="shared" si="34"/>
        <v>0</v>
      </c>
      <c r="AA389" s="51">
        <f t="shared" si="35"/>
        <v>0</v>
      </c>
      <c r="AB389" s="51" t="str">
        <f t="shared" si="36"/>
        <v/>
      </c>
      <c r="AC389" s="51" t="str">
        <f t="shared" si="36"/>
        <v/>
      </c>
    </row>
    <row r="390" spans="1:29" s="51" customFormat="1" ht="33.75" customHeight="1">
      <c r="A390" s="52">
        <v>369</v>
      </c>
      <c r="B390" s="342"/>
      <c r="C390" s="343"/>
      <c r="D390" s="344"/>
      <c r="E390" s="45"/>
      <c r="F390" s="53"/>
      <c r="G390" s="53"/>
      <c r="H390" s="53"/>
      <c r="I390" s="53"/>
      <c r="J390" s="169"/>
      <c r="K390" s="162"/>
      <c r="L390" s="57"/>
      <c r="M390" s="183" t="b">
        <v>0</v>
      </c>
      <c r="N390" s="342"/>
      <c r="O390" s="343"/>
      <c r="P390" s="343"/>
      <c r="Q390" s="344"/>
      <c r="R390" s="183" t="b">
        <v>0</v>
      </c>
      <c r="S390" s="53"/>
      <c r="T390" s="48"/>
      <c r="U390" s="49"/>
      <c r="V390" s="50"/>
      <c r="Y390" s="51">
        <f t="shared" si="29"/>
        <v>0</v>
      </c>
      <c r="Z390" s="51">
        <f t="shared" si="34"/>
        <v>0</v>
      </c>
      <c r="AA390" s="51">
        <f t="shared" si="35"/>
        <v>0</v>
      </c>
      <c r="AB390" s="51" t="str">
        <f t="shared" si="36"/>
        <v/>
      </c>
      <c r="AC390" s="51" t="str">
        <f t="shared" si="36"/>
        <v/>
      </c>
    </row>
    <row r="391" spans="1:29" s="51" customFormat="1" ht="33.75" customHeight="1">
      <c r="A391" s="52">
        <v>370</v>
      </c>
      <c r="B391" s="342"/>
      <c r="C391" s="343"/>
      <c r="D391" s="344"/>
      <c r="E391" s="45"/>
      <c r="F391" s="53"/>
      <c r="G391" s="53"/>
      <c r="H391" s="53"/>
      <c r="I391" s="53"/>
      <c r="J391" s="169"/>
      <c r="K391" s="162"/>
      <c r="L391" s="57"/>
      <c r="M391" s="183" t="b">
        <v>0</v>
      </c>
      <c r="N391" s="342"/>
      <c r="O391" s="343"/>
      <c r="P391" s="343"/>
      <c r="Q391" s="344"/>
      <c r="R391" s="183" t="b">
        <v>0</v>
      </c>
      <c r="S391" s="53"/>
      <c r="T391" s="48"/>
      <c r="U391" s="49"/>
      <c r="V391" s="50"/>
      <c r="Y391" s="51">
        <f t="shared" si="29"/>
        <v>0</v>
      </c>
      <c r="Z391" s="51">
        <f t="shared" si="34"/>
        <v>0</v>
      </c>
      <c r="AA391" s="51">
        <f t="shared" si="35"/>
        <v>0</v>
      </c>
      <c r="AB391" s="51" t="str">
        <f t="shared" si="36"/>
        <v/>
      </c>
      <c r="AC391" s="51" t="str">
        <f t="shared" si="36"/>
        <v/>
      </c>
    </row>
    <row r="392" spans="1:29" s="51" customFormat="1" ht="33.75" customHeight="1">
      <c r="A392" s="52">
        <v>371</v>
      </c>
      <c r="B392" s="342"/>
      <c r="C392" s="343"/>
      <c r="D392" s="344"/>
      <c r="E392" s="45"/>
      <c r="F392" s="53"/>
      <c r="G392" s="53"/>
      <c r="H392" s="53"/>
      <c r="I392" s="53"/>
      <c r="J392" s="169"/>
      <c r="K392" s="162"/>
      <c r="L392" s="57"/>
      <c r="M392" s="183" t="b">
        <v>0</v>
      </c>
      <c r="N392" s="342"/>
      <c r="O392" s="343"/>
      <c r="P392" s="343"/>
      <c r="Q392" s="344"/>
      <c r="R392" s="183" t="b">
        <v>0</v>
      </c>
      <c r="S392" s="53"/>
      <c r="T392" s="48"/>
      <c r="U392" s="49"/>
      <c r="V392" s="50"/>
      <c r="Y392" s="51">
        <f t="shared" si="29"/>
        <v>0</v>
      </c>
      <c r="Z392" s="51">
        <f t="shared" si="34"/>
        <v>0</v>
      </c>
      <c r="AA392" s="51">
        <f t="shared" si="35"/>
        <v>0</v>
      </c>
      <c r="AB392" s="51" t="str">
        <f t="shared" si="36"/>
        <v/>
      </c>
      <c r="AC392" s="51" t="str">
        <f t="shared" si="36"/>
        <v/>
      </c>
    </row>
    <row r="393" spans="1:29" s="51" customFormat="1" ht="33.75" customHeight="1">
      <c r="A393" s="52">
        <v>372</v>
      </c>
      <c r="B393" s="342"/>
      <c r="C393" s="343"/>
      <c r="D393" s="344"/>
      <c r="E393" s="45"/>
      <c r="F393" s="53"/>
      <c r="G393" s="53"/>
      <c r="H393" s="53"/>
      <c r="I393" s="53"/>
      <c r="J393" s="169"/>
      <c r="K393" s="162"/>
      <c r="L393" s="57"/>
      <c r="M393" s="183" t="b">
        <v>0</v>
      </c>
      <c r="N393" s="342"/>
      <c r="O393" s="343"/>
      <c r="P393" s="343"/>
      <c r="Q393" s="344"/>
      <c r="R393" s="183" t="b">
        <v>0</v>
      </c>
      <c r="S393" s="53"/>
      <c r="T393" s="48"/>
      <c r="U393" s="49"/>
      <c r="V393" s="50"/>
      <c r="Y393" s="51">
        <f t="shared" si="29"/>
        <v>0</v>
      </c>
      <c r="Z393" s="51">
        <f t="shared" si="34"/>
        <v>0</v>
      </c>
      <c r="AA393" s="51">
        <f t="shared" si="35"/>
        <v>0</v>
      </c>
      <c r="AB393" s="51" t="str">
        <f t="shared" si="36"/>
        <v/>
      </c>
      <c r="AC393" s="51" t="str">
        <f t="shared" si="36"/>
        <v/>
      </c>
    </row>
    <row r="394" spans="1:29" s="51" customFormat="1" ht="33.75" customHeight="1">
      <c r="A394" s="52">
        <v>373</v>
      </c>
      <c r="B394" s="342"/>
      <c r="C394" s="343"/>
      <c r="D394" s="344"/>
      <c r="E394" s="45"/>
      <c r="F394" s="53"/>
      <c r="G394" s="53"/>
      <c r="H394" s="53"/>
      <c r="I394" s="53"/>
      <c r="J394" s="169"/>
      <c r="K394" s="162"/>
      <c r="L394" s="57"/>
      <c r="M394" s="183" t="b">
        <v>0</v>
      </c>
      <c r="N394" s="342"/>
      <c r="O394" s="343"/>
      <c r="P394" s="343"/>
      <c r="Q394" s="344"/>
      <c r="R394" s="183" t="b">
        <v>0</v>
      </c>
      <c r="S394" s="53"/>
      <c r="T394" s="48"/>
      <c r="U394" s="49"/>
      <c r="V394" s="50"/>
      <c r="Y394" s="51">
        <f t="shared" si="29"/>
        <v>0</v>
      </c>
      <c r="Z394" s="51">
        <f t="shared" si="34"/>
        <v>0</v>
      </c>
      <c r="AA394" s="51">
        <f t="shared" si="35"/>
        <v>0</v>
      </c>
      <c r="AB394" s="51" t="str">
        <f t="shared" si="36"/>
        <v/>
      </c>
      <c r="AC394" s="51" t="str">
        <f t="shared" si="36"/>
        <v/>
      </c>
    </row>
    <row r="395" spans="1:29" s="51" customFormat="1" ht="33.75" customHeight="1">
      <c r="A395" s="52">
        <v>374</v>
      </c>
      <c r="B395" s="342"/>
      <c r="C395" s="343"/>
      <c r="D395" s="344"/>
      <c r="E395" s="45"/>
      <c r="F395" s="53"/>
      <c r="G395" s="53"/>
      <c r="H395" s="53"/>
      <c r="I395" s="53"/>
      <c r="J395" s="169"/>
      <c r="K395" s="162"/>
      <c r="L395" s="57"/>
      <c r="M395" s="183" t="b">
        <v>0</v>
      </c>
      <c r="N395" s="342"/>
      <c r="O395" s="343"/>
      <c r="P395" s="343"/>
      <c r="Q395" s="344"/>
      <c r="R395" s="183" t="b">
        <v>0</v>
      </c>
      <c r="S395" s="53"/>
      <c r="T395" s="48"/>
      <c r="U395" s="49"/>
      <c r="V395" s="50"/>
      <c r="Y395" s="51">
        <f t="shared" si="29"/>
        <v>0</v>
      </c>
      <c r="Z395" s="51">
        <f t="shared" si="34"/>
        <v>0</v>
      </c>
      <c r="AA395" s="51">
        <f t="shared" si="35"/>
        <v>0</v>
      </c>
      <c r="AB395" s="51" t="str">
        <f t="shared" si="36"/>
        <v/>
      </c>
      <c r="AC395" s="51" t="str">
        <f t="shared" si="36"/>
        <v/>
      </c>
    </row>
    <row r="396" spans="1:29" s="51" customFormat="1" ht="33.75" customHeight="1">
      <c r="A396" s="52">
        <v>375</v>
      </c>
      <c r="B396" s="342"/>
      <c r="C396" s="343"/>
      <c r="D396" s="344"/>
      <c r="E396" s="45"/>
      <c r="F396" s="53"/>
      <c r="G396" s="53"/>
      <c r="H396" s="53"/>
      <c r="I396" s="53"/>
      <c r="J396" s="169"/>
      <c r="K396" s="162"/>
      <c r="L396" s="57"/>
      <c r="M396" s="183" t="b">
        <v>0</v>
      </c>
      <c r="N396" s="342"/>
      <c r="O396" s="343"/>
      <c r="P396" s="343"/>
      <c r="Q396" s="344"/>
      <c r="R396" s="183" t="b">
        <v>0</v>
      </c>
      <c r="S396" s="53"/>
      <c r="T396" s="48"/>
      <c r="U396" s="49"/>
      <c r="V396" s="50"/>
      <c r="Y396" s="51">
        <f t="shared" si="29"/>
        <v>0</v>
      </c>
      <c r="Z396" s="51">
        <f t="shared" si="34"/>
        <v>0</v>
      </c>
      <c r="AA396" s="51">
        <f t="shared" si="35"/>
        <v>0</v>
      </c>
      <c r="AB396" s="51" t="str">
        <f t="shared" si="36"/>
        <v/>
      </c>
      <c r="AC396" s="51" t="str">
        <f t="shared" si="36"/>
        <v/>
      </c>
    </row>
    <row r="397" spans="1:29" s="51" customFormat="1" ht="33.75" customHeight="1">
      <c r="A397" s="52">
        <v>376</v>
      </c>
      <c r="B397" s="342"/>
      <c r="C397" s="343"/>
      <c r="D397" s="344"/>
      <c r="E397" s="45"/>
      <c r="F397" s="53"/>
      <c r="G397" s="53"/>
      <c r="H397" s="53"/>
      <c r="I397" s="53"/>
      <c r="J397" s="169"/>
      <c r="K397" s="162"/>
      <c r="L397" s="57"/>
      <c r="M397" s="183" t="b">
        <v>0</v>
      </c>
      <c r="N397" s="342"/>
      <c r="O397" s="343"/>
      <c r="P397" s="343"/>
      <c r="Q397" s="344"/>
      <c r="R397" s="183" t="b">
        <v>0</v>
      </c>
      <c r="S397" s="53"/>
      <c r="T397" s="48"/>
      <c r="U397" s="49"/>
      <c r="V397" s="50"/>
      <c r="Y397" s="51">
        <f t="shared" si="29"/>
        <v>0</v>
      </c>
      <c r="Z397" s="51">
        <f t="shared" si="34"/>
        <v>0</v>
      </c>
      <c r="AA397" s="51">
        <f t="shared" si="35"/>
        <v>0</v>
      </c>
      <c r="AB397" s="51" t="str">
        <f t="shared" si="36"/>
        <v/>
      </c>
      <c r="AC397" s="51" t="str">
        <f t="shared" si="36"/>
        <v/>
      </c>
    </row>
    <row r="398" spans="1:29" s="51" customFormat="1" ht="33.75" customHeight="1">
      <c r="A398" s="52">
        <v>377</v>
      </c>
      <c r="B398" s="342"/>
      <c r="C398" s="343"/>
      <c r="D398" s="344"/>
      <c r="E398" s="45"/>
      <c r="F398" s="53"/>
      <c r="G398" s="53"/>
      <c r="H398" s="53"/>
      <c r="I398" s="53"/>
      <c r="J398" s="169"/>
      <c r="K398" s="162"/>
      <c r="L398" s="57"/>
      <c r="M398" s="183" t="b">
        <v>0</v>
      </c>
      <c r="N398" s="342"/>
      <c r="O398" s="343"/>
      <c r="P398" s="343"/>
      <c r="Q398" s="344"/>
      <c r="R398" s="183" t="b">
        <v>0</v>
      </c>
      <c r="S398" s="53"/>
      <c r="T398" s="48"/>
      <c r="U398" s="49"/>
      <c r="V398" s="50"/>
      <c r="Y398" s="51">
        <f t="shared" si="29"/>
        <v>0</v>
      </c>
      <c r="Z398" s="51">
        <f t="shared" si="34"/>
        <v>0</v>
      </c>
      <c r="AA398" s="51">
        <f t="shared" si="35"/>
        <v>0</v>
      </c>
      <c r="AB398" s="51" t="str">
        <f t="shared" si="36"/>
        <v/>
      </c>
      <c r="AC398" s="51" t="str">
        <f t="shared" si="36"/>
        <v/>
      </c>
    </row>
    <row r="399" spans="1:29" s="51" customFormat="1" ht="33.75" customHeight="1">
      <c r="A399" s="52">
        <v>378</v>
      </c>
      <c r="B399" s="342"/>
      <c r="C399" s="343"/>
      <c r="D399" s="344"/>
      <c r="E399" s="45"/>
      <c r="F399" s="53"/>
      <c r="G399" s="53"/>
      <c r="H399" s="53"/>
      <c r="I399" s="53"/>
      <c r="J399" s="169"/>
      <c r="K399" s="162"/>
      <c r="L399" s="57"/>
      <c r="M399" s="183" t="b">
        <v>0</v>
      </c>
      <c r="N399" s="342"/>
      <c r="O399" s="343"/>
      <c r="P399" s="343"/>
      <c r="Q399" s="344"/>
      <c r="R399" s="183" t="b">
        <v>0</v>
      </c>
      <c r="S399" s="53"/>
      <c r="T399" s="48"/>
      <c r="U399" s="49"/>
      <c r="V399" s="50"/>
      <c r="Y399" s="51">
        <f t="shared" si="29"/>
        <v>0</v>
      </c>
      <c r="Z399" s="51">
        <f t="shared" si="34"/>
        <v>0</v>
      </c>
      <c r="AA399" s="51">
        <f t="shared" si="35"/>
        <v>0</v>
      </c>
      <c r="AB399" s="51" t="str">
        <f t="shared" si="36"/>
        <v/>
      </c>
      <c r="AC399" s="51" t="str">
        <f t="shared" si="36"/>
        <v/>
      </c>
    </row>
    <row r="400" spans="1:29" s="51" customFormat="1" ht="33.75" customHeight="1">
      <c r="A400" s="52">
        <v>379</v>
      </c>
      <c r="B400" s="342"/>
      <c r="C400" s="343"/>
      <c r="D400" s="344"/>
      <c r="E400" s="45"/>
      <c r="F400" s="53"/>
      <c r="G400" s="53"/>
      <c r="H400" s="53"/>
      <c r="I400" s="53"/>
      <c r="J400" s="169"/>
      <c r="K400" s="162"/>
      <c r="L400" s="57"/>
      <c r="M400" s="183" t="b">
        <v>0</v>
      </c>
      <c r="N400" s="342"/>
      <c r="O400" s="343"/>
      <c r="P400" s="343"/>
      <c r="Q400" s="344"/>
      <c r="R400" s="183" t="b">
        <v>0</v>
      </c>
      <c r="S400" s="53"/>
      <c r="T400" s="48"/>
      <c r="U400" s="49"/>
      <c r="V400" s="50"/>
      <c r="Y400" s="51">
        <f t="shared" si="29"/>
        <v>0</v>
      </c>
      <c r="Z400" s="51">
        <f t="shared" si="34"/>
        <v>0</v>
      </c>
      <c r="AA400" s="51">
        <f t="shared" si="35"/>
        <v>0</v>
      </c>
      <c r="AB400" s="51" t="str">
        <f t="shared" si="36"/>
        <v/>
      </c>
      <c r="AC400" s="51" t="str">
        <f t="shared" si="36"/>
        <v/>
      </c>
    </row>
    <row r="401" spans="1:29" s="51" customFormat="1" ht="33.75" customHeight="1">
      <c r="A401" s="52">
        <v>380</v>
      </c>
      <c r="B401" s="342"/>
      <c r="C401" s="343"/>
      <c r="D401" s="344"/>
      <c r="E401" s="45"/>
      <c r="F401" s="53"/>
      <c r="G401" s="53"/>
      <c r="H401" s="53"/>
      <c r="I401" s="53"/>
      <c r="J401" s="169"/>
      <c r="K401" s="162"/>
      <c r="L401" s="57"/>
      <c r="M401" s="183" t="b">
        <v>0</v>
      </c>
      <c r="N401" s="342"/>
      <c r="O401" s="343"/>
      <c r="P401" s="343"/>
      <c r="Q401" s="344"/>
      <c r="R401" s="183" t="b">
        <v>0</v>
      </c>
      <c r="S401" s="53"/>
      <c r="T401" s="48"/>
      <c r="U401" s="49"/>
      <c r="V401" s="50"/>
      <c r="Y401" s="51">
        <f t="shared" si="29"/>
        <v>0</v>
      </c>
      <c r="Z401" s="51">
        <f t="shared" si="34"/>
        <v>0</v>
      </c>
      <c r="AA401" s="51">
        <f t="shared" si="35"/>
        <v>0</v>
      </c>
      <c r="AB401" s="51" t="str">
        <f t="shared" si="36"/>
        <v/>
      </c>
      <c r="AC401" s="51" t="str">
        <f t="shared" si="36"/>
        <v/>
      </c>
    </row>
    <row r="402" spans="1:29" s="51" customFormat="1" ht="33.75" customHeight="1">
      <c r="A402" s="52">
        <v>381</v>
      </c>
      <c r="B402" s="342"/>
      <c r="C402" s="343"/>
      <c r="D402" s="344"/>
      <c r="E402" s="45"/>
      <c r="F402" s="53"/>
      <c r="G402" s="53"/>
      <c r="H402" s="53"/>
      <c r="I402" s="53"/>
      <c r="J402" s="169"/>
      <c r="K402" s="162"/>
      <c r="L402" s="57"/>
      <c r="M402" s="183" t="b">
        <v>0</v>
      </c>
      <c r="N402" s="342"/>
      <c r="O402" s="343"/>
      <c r="P402" s="343"/>
      <c r="Q402" s="344"/>
      <c r="R402" s="183" t="b">
        <v>0</v>
      </c>
      <c r="S402" s="53"/>
      <c r="T402" s="48"/>
      <c r="U402" s="49"/>
      <c r="V402" s="50"/>
      <c r="Y402" s="51">
        <f t="shared" si="29"/>
        <v>0</v>
      </c>
      <c r="Z402" s="51">
        <f t="shared" si="34"/>
        <v>0</v>
      </c>
      <c r="AA402" s="51">
        <f t="shared" si="35"/>
        <v>0</v>
      </c>
      <c r="AB402" s="51" t="str">
        <f t="shared" si="36"/>
        <v/>
      </c>
      <c r="AC402" s="51" t="str">
        <f t="shared" si="36"/>
        <v/>
      </c>
    </row>
    <row r="403" spans="1:29" s="51" customFormat="1" ht="33.75" customHeight="1">
      <c r="A403" s="52">
        <v>382</v>
      </c>
      <c r="B403" s="342"/>
      <c r="C403" s="343"/>
      <c r="D403" s="344"/>
      <c r="E403" s="45"/>
      <c r="F403" s="53"/>
      <c r="G403" s="53"/>
      <c r="H403" s="53"/>
      <c r="I403" s="53"/>
      <c r="J403" s="169"/>
      <c r="K403" s="162"/>
      <c r="L403" s="57"/>
      <c r="M403" s="183" t="b">
        <v>0</v>
      </c>
      <c r="N403" s="342"/>
      <c r="O403" s="343"/>
      <c r="P403" s="343"/>
      <c r="Q403" s="344"/>
      <c r="R403" s="183" t="b">
        <v>0</v>
      </c>
      <c r="S403" s="53"/>
      <c r="T403" s="48"/>
      <c r="U403" s="49"/>
      <c r="V403" s="50"/>
      <c r="Y403" s="51">
        <f t="shared" si="29"/>
        <v>0</v>
      </c>
      <c r="Z403" s="51">
        <f t="shared" si="34"/>
        <v>0</v>
      </c>
      <c r="AA403" s="51">
        <f t="shared" si="35"/>
        <v>0</v>
      </c>
      <c r="AB403" s="51" t="str">
        <f t="shared" si="36"/>
        <v/>
      </c>
      <c r="AC403" s="51" t="str">
        <f t="shared" si="36"/>
        <v/>
      </c>
    </row>
    <row r="404" spans="1:29" s="51" customFormat="1" ht="33.75" customHeight="1">
      <c r="A404" s="52">
        <v>383</v>
      </c>
      <c r="B404" s="342"/>
      <c r="C404" s="343"/>
      <c r="D404" s="344"/>
      <c r="E404" s="45"/>
      <c r="F404" s="53"/>
      <c r="G404" s="53"/>
      <c r="H404" s="53"/>
      <c r="I404" s="53"/>
      <c r="J404" s="169"/>
      <c r="K404" s="162"/>
      <c r="L404" s="57"/>
      <c r="M404" s="183" t="b">
        <v>0</v>
      </c>
      <c r="N404" s="342"/>
      <c r="O404" s="343"/>
      <c r="P404" s="343"/>
      <c r="Q404" s="344"/>
      <c r="R404" s="183" t="b">
        <v>0</v>
      </c>
      <c r="S404" s="53"/>
      <c r="T404" s="48"/>
      <c r="U404" s="49"/>
      <c r="V404" s="50"/>
      <c r="Y404" s="51">
        <f t="shared" si="29"/>
        <v>0</v>
      </c>
      <c r="Z404" s="51">
        <f t="shared" si="34"/>
        <v>0</v>
      </c>
      <c r="AA404" s="51">
        <f t="shared" si="35"/>
        <v>0</v>
      </c>
      <c r="AB404" s="51" t="str">
        <f t="shared" si="36"/>
        <v/>
      </c>
      <c r="AC404" s="51" t="str">
        <f t="shared" si="36"/>
        <v/>
      </c>
    </row>
    <row r="405" spans="1:29" s="51" customFormat="1" ht="33.75" customHeight="1">
      <c r="A405" s="52">
        <v>384</v>
      </c>
      <c r="B405" s="342"/>
      <c r="C405" s="343"/>
      <c r="D405" s="344"/>
      <c r="E405" s="45"/>
      <c r="F405" s="53"/>
      <c r="G405" s="53"/>
      <c r="H405" s="53"/>
      <c r="I405" s="53"/>
      <c r="J405" s="169"/>
      <c r="K405" s="162"/>
      <c r="L405" s="57"/>
      <c r="M405" s="183" t="b">
        <v>0</v>
      </c>
      <c r="N405" s="342"/>
      <c r="O405" s="343"/>
      <c r="P405" s="343"/>
      <c r="Q405" s="344"/>
      <c r="R405" s="183" t="b">
        <v>0</v>
      </c>
      <c r="S405" s="53"/>
      <c r="T405" s="48"/>
      <c r="U405" s="49"/>
      <c r="V405" s="50"/>
      <c r="Y405" s="51">
        <f t="shared" si="29"/>
        <v>0</v>
      </c>
      <c r="Z405" s="51">
        <f t="shared" si="34"/>
        <v>0</v>
      </c>
      <c r="AA405" s="51">
        <f t="shared" si="35"/>
        <v>0</v>
      </c>
      <c r="AB405" s="51" t="str">
        <f t="shared" si="36"/>
        <v/>
      </c>
      <c r="AC405" s="51" t="str">
        <f t="shared" si="36"/>
        <v/>
      </c>
    </row>
    <row r="406" spans="1:29" s="51" customFormat="1" ht="33.75" customHeight="1">
      <c r="A406" s="52">
        <v>385</v>
      </c>
      <c r="B406" s="342"/>
      <c r="C406" s="343"/>
      <c r="D406" s="344"/>
      <c r="E406" s="45"/>
      <c r="F406" s="53"/>
      <c r="G406" s="53"/>
      <c r="H406" s="53"/>
      <c r="I406" s="53"/>
      <c r="J406" s="169"/>
      <c r="K406" s="162"/>
      <c r="L406" s="57"/>
      <c r="M406" s="183" t="b">
        <v>0</v>
      </c>
      <c r="N406" s="342"/>
      <c r="O406" s="343"/>
      <c r="P406" s="343"/>
      <c r="Q406" s="344"/>
      <c r="R406" s="183" t="b">
        <v>0</v>
      </c>
      <c r="S406" s="53"/>
      <c r="T406" s="48"/>
      <c r="U406" s="49"/>
      <c r="V406" s="50"/>
      <c r="Y406" s="51">
        <f t="shared" si="29"/>
        <v>0</v>
      </c>
      <c r="Z406" s="51">
        <f t="shared" si="34"/>
        <v>0</v>
      </c>
      <c r="AA406" s="51">
        <f t="shared" si="35"/>
        <v>0</v>
      </c>
      <c r="AB406" s="51" t="str">
        <f t="shared" si="36"/>
        <v/>
      </c>
      <c r="AC406" s="51" t="str">
        <f t="shared" ref="AC406" si="37">IF(I406="","",IF($E406="男",1,IF($E406="女",2,"")))</f>
        <v/>
      </c>
    </row>
    <row r="407" spans="1:29" s="51" customFormat="1" ht="33.75" customHeight="1">
      <c r="A407" s="52">
        <v>386</v>
      </c>
      <c r="B407" s="342"/>
      <c r="C407" s="343"/>
      <c r="D407" s="344"/>
      <c r="E407" s="45"/>
      <c r="F407" s="53"/>
      <c r="G407" s="53"/>
      <c r="H407" s="53"/>
      <c r="I407" s="53"/>
      <c r="J407" s="169"/>
      <c r="K407" s="162"/>
      <c r="L407" s="57"/>
      <c r="M407" s="183" t="b">
        <v>0</v>
      </c>
      <c r="N407" s="342"/>
      <c r="O407" s="343"/>
      <c r="P407" s="343"/>
      <c r="Q407" s="344"/>
      <c r="R407" s="183" t="b">
        <v>0</v>
      </c>
      <c r="S407" s="53"/>
      <c r="T407" s="48"/>
      <c r="U407" s="49"/>
      <c r="V407" s="50"/>
      <c r="Y407" s="51">
        <f t="shared" si="29"/>
        <v>0</v>
      </c>
      <c r="Z407" s="51">
        <f t="shared" ref="Z407:Z421" si="38">COUNTA(F407:I407)</f>
        <v>0</v>
      </c>
      <c r="AA407" s="51">
        <f t="shared" ref="AA407:AA421" si="39">COUNTA($J407)</f>
        <v>0</v>
      </c>
      <c r="AB407" s="51" t="str">
        <f t="shared" ref="AB407:AC421" si="40">IF(H407="","",IF($E407="男",1,IF($E407="女",2,"")))</f>
        <v/>
      </c>
      <c r="AC407" s="51" t="str">
        <f t="shared" si="40"/>
        <v/>
      </c>
    </row>
    <row r="408" spans="1:29" s="51" customFormat="1" ht="33.75" customHeight="1">
      <c r="A408" s="52">
        <v>387</v>
      </c>
      <c r="B408" s="342"/>
      <c r="C408" s="343"/>
      <c r="D408" s="344"/>
      <c r="E408" s="45"/>
      <c r="F408" s="53"/>
      <c r="G408" s="53"/>
      <c r="H408" s="53"/>
      <c r="I408" s="53"/>
      <c r="J408" s="169"/>
      <c r="K408" s="162"/>
      <c r="L408" s="57"/>
      <c r="M408" s="183" t="b">
        <v>0</v>
      </c>
      <c r="N408" s="342"/>
      <c r="O408" s="343"/>
      <c r="P408" s="343"/>
      <c r="Q408" s="344"/>
      <c r="R408" s="183" t="b">
        <v>0</v>
      </c>
      <c r="S408" s="53"/>
      <c r="T408" s="48"/>
      <c r="U408" s="49"/>
      <c r="V408" s="50"/>
      <c r="Y408" s="51">
        <f t="shared" si="29"/>
        <v>0</v>
      </c>
      <c r="Z408" s="51">
        <f t="shared" si="38"/>
        <v>0</v>
      </c>
      <c r="AA408" s="51">
        <f t="shared" si="39"/>
        <v>0</v>
      </c>
      <c r="AB408" s="51" t="str">
        <f t="shared" si="40"/>
        <v/>
      </c>
      <c r="AC408" s="51" t="str">
        <f t="shared" si="40"/>
        <v/>
      </c>
    </row>
    <row r="409" spans="1:29" s="51" customFormat="1" ht="33.75" customHeight="1">
      <c r="A409" s="52">
        <v>388</v>
      </c>
      <c r="B409" s="342"/>
      <c r="C409" s="343"/>
      <c r="D409" s="344"/>
      <c r="E409" s="45"/>
      <c r="F409" s="53"/>
      <c r="G409" s="53"/>
      <c r="H409" s="53"/>
      <c r="I409" s="53"/>
      <c r="J409" s="169"/>
      <c r="K409" s="162"/>
      <c r="L409" s="57"/>
      <c r="M409" s="183" t="b">
        <v>0</v>
      </c>
      <c r="N409" s="342"/>
      <c r="O409" s="343"/>
      <c r="P409" s="343"/>
      <c r="Q409" s="344"/>
      <c r="R409" s="183" t="b">
        <v>0</v>
      </c>
      <c r="S409" s="53"/>
      <c r="T409" s="48"/>
      <c r="U409" s="49"/>
      <c r="V409" s="50"/>
      <c r="Y409" s="51">
        <f t="shared" si="29"/>
        <v>0</v>
      </c>
      <c r="Z409" s="51">
        <f t="shared" si="38"/>
        <v>0</v>
      </c>
      <c r="AA409" s="51">
        <f t="shared" si="39"/>
        <v>0</v>
      </c>
      <c r="AB409" s="51" t="str">
        <f t="shared" si="40"/>
        <v/>
      </c>
      <c r="AC409" s="51" t="str">
        <f t="shared" si="40"/>
        <v/>
      </c>
    </row>
    <row r="410" spans="1:29" s="51" customFormat="1" ht="33.75" customHeight="1">
      <c r="A410" s="52">
        <v>389</v>
      </c>
      <c r="B410" s="342"/>
      <c r="C410" s="343"/>
      <c r="D410" s="344"/>
      <c r="E410" s="45"/>
      <c r="F410" s="53"/>
      <c r="G410" s="53"/>
      <c r="H410" s="53"/>
      <c r="I410" s="53"/>
      <c r="J410" s="169"/>
      <c r="K410" s="162"/>
      <c r="L410" s="57"/>
      <c r="M410" s="183" t="b">
        <v>0</v>
      </c>
      <c r="N410" s="342"/>
      <c r="O410" s="343"/>
      <c r="P410" s="343"/>
      <c r="Q410" s="344"/>
      <c r="R410" s="183" t="b">
        <v>0</v>
      </c>
      <c r="S410" s="53"/>
      <c r="T410" s="48"/>
      <c r="U410" s="49"/>
      <c r="V410" s="50"/>
      <c r="Y410" s="51">
        <f t="shared" si="29"/>
        <v>0</v>
      </c>
      <c r="Z410" s="51">
        <f t="shared" si="38"/>
        <v>0</v>
      </c>
      <c r="AA410" s="51">
        <f t="shared" si="39"/>
        <v>0</v>
      </c>
      <c r="AB410" s="51" t="str">
        <f t="shared" si="40"/>
        <v/>
      </c>
      <c r="AC410" s="51" t="str">
        <f t="shared" si="40"/>
        <v/>
      </c>
    </row>
    <row r="411" spans="1:29" s="51" customFormat="1" ht="33.75" customHeight="1">
      <c r="A411" s="52">
        <v>390</v>
      </c>
      <c r="B411" s="342"/>
      <c r="C411" s="343"/>
      <c r="D411" s="344"/>
      <c r="E411" s="45"/>
      <c r="F411" s="53"/>
      <c r="G411" s="53"/>
      <c r="H411" s="53"/>
      <c r="I411" s="53"/>
      <c r="J411" s="169"/>
      <c r="K411" s="162"/>
      <c r="L411" s="57"/>
      <c r="M411" s="183" t="b">
        <v>0</v>
      </c>
      <c r="N411" s="342"/>
      <c r="O411" s="343"/>
      <c r="P411" s="343"/>
      <c r="Q411" s="344"/>
      <c r="R411" s="183" t="b">
        <v>0</v>
      </c>
      <c r="S411" s="53"/>
      <c r="T411" s="48"/>
      <c r="U411" s="49"/>
      <c r="V411" s="50"/>
      <c r="Y411" s="51">
        <f t="shared" si="29"/>
        <v>0</v>
      </c>
      <c r="Z411" s="51">
        <f t="shared" si="38"/>
        <v>0</v>
      </c>
      <c r="AA411" s="51">
        <f t="shared" si="39"/>
        <v>0</v>
      </c>
      <c r="AB411" s="51" t="str">
        <f t="shared" si="40"/>
        <v/>
      </c>
      <c r="AC411" s="51" t="str">
        <f t="shared" si="40"/>
        <v/>
      </c>
    </row>
    <row r="412" spans="1:29" s="51" customFormat="1" ht="33.75" customHeight="1">
      <c r="A412" s="52">
        <v>391</v>
      </c>
      <c r="B412" s="342"/>
      <c r="C412" s="343"/>
      <c r="D412" s="344"/>
      <c r="E412" s="45"/>
      <c r="F412" s="53"/>
      <c r="G412" s="53"/>
      <c r="H412" s="53"/>
      <c r="I412" s="53"/>
      <c r="J412" s="169"/>
      <c r="K412" s="162"/>
      <c r="L412" s="57"/>
      <c r="M412" s="183" t="b">
        <v>0</v>
      </c>
      <c r="N412" s="342"/>
      <c r="O412" s="343"/>
      <c r="P412" s="343"/>
      <c r="Q412" s="344"/>
      <c r="R412" s="183" t="b">
        <v>0</v>
      </c>
      <c r="S412" s="53"/>
      <c r="T412" s="48"/>
      <c r="U412" s="49"/>
      <c r="V412" s="50"/>
      <c r="Y412" s="51">
        <f t="shared" si="29"/>
        <v>0</v>
      </c>
      <c r="Z412" s="51">
        <f t="shared" si="38"/>
        <v>0</v>
      </c>
      <c r="AA412" s="51">
        <f t="shared" si="39"/>
        <v>0</v>
      </c>
      <c r="AB412" s="51" t="str">
        <f t="shared" si="40"/>
        <v/>
      </c>
      <c r="AC412" s="51" t="str">
        <f t="shared" si="40"/>
        <v/>
      </c>
    </row>
    <row r="413" spans="1:29" s="51" customFormat="1" ht="33.75" customHeight="1">
      <c r="A413" s="52">
        <v>392</v>
      </c>
      <c r="B413" s="342"/>
      <c r="C413" s="343"/>
      <c r="D413" s="344"/>
      <c r="E413" s="45"/>
      <c r="F413" s="53"/>
      <c r="G413" s="53"/>
      <c r="H413" s="53"/>
      <c r="I413" s="53"/>
      <c r="J413" s="169"/>
      <c r="K413" s="162"/>
      <c r="L413" s="57"/>
      <c r="M413" s="183" t="b">
        <v>0</v>
      </c>
      <c r="N413" s="342"/>
      <c r="O413" s="343"/>
      <c r="P413" s="343"/>
      <c r="Q413" s="344"/>
      <c r="R413" s="183" t="b">
        <v>0</v>
      </c>
      <c r="S413" s="53"/>
      <c r="T413" s="48"/>
      <c r="U413" s="49"/>
      <c r="V413" s="50"/>
      <c r="Y413" s="51">
        <f t="shared" si="29"/>
        <v>0</v>
      </c>
      <c r="Z413" s="51">
        <f t="shared" si="38"/>
        <v>0</v>
      </c>
      <c r="AA413" s="51">
        <f t="shared" si="39"/>
        <v>0</v>
      </c>
      <c r="AB413" s="51" t="str">
        <f t="shared" si="40"/>
        <v/>
      </c>
      <c r="AC413" s="51" t="str">
        <f t="shared" si="40"/>
        <v/>
      </c>
    </row>
    <row r="414" spans="1:29" s="51" customFormat="1" ht="33.75" customHeight="1">
      <c r="A414" s="52">
        <v>393</v>
      </c>
      <c r="B414" s="342"/>
      <c r="C414" s="343"/>
      <c r="D414" s="344"/>
      <c r="E414" s="45"/>
      <c r="F414" s="53"/>
      <c r="G414" s="53"/>
      <c r="H414" s="53"/>
      <c r="I414" s="53"/>
      <c r="J414" s="169"/>
      <c r="K414" s="162"/>
      <c r="L414" s="57"/>
      <c r="M414" s="183" t="b">
        <v>0</v>
      </c>
      <c r="N414" s="342"/>
      <c r="O414" s="343"/>
      <c r="P414" s="343"/>
      <c r="Q414" s="344"/>
      <c r="R414" s="183" t="b">
        <v>0</v>
      </c>
      <c r="S414" s="53"/>
      <c r="T414" s="48"/>
      <c r="U414" s="49"/>
      <c r="V414" s="50"/>
      <c r="Y414" s="51">
        <f t="shared" si="29"/>
        <v>0</v>
      </c>
      <c r="Z414" s="51">
        <f t="shared" si="38"/>
        <v>0</v>
      </c>
      <c r="AA414" s="51">
        <f t="shared" si="39"/>
        <v>0</v>
      </c>
      <c r="AB414" s="51" t="str">
        <f t="shared" si="40"/>
        <v/>
      </c>
      <c r="AC414" s="51" t="str">
        <f t="shared" si="40"/>
        <v/>
      </c>
    </row>
    <row r="415" spans="1:29" s="51" customFormat="1" ht="33.75" customHeight="1">
      <c r="A415" s="52">
        <v>394</v>
      </c>
      <c r="B415" s="342"/>
      <c r="C415" s="343"/>
      <c r="D415" s="344"/>
      <c r="E415" s="45"/>
      <c r="F415" s="53"/>
      <c r="G415" s="53"/>
      <c r="H415" s="53"/>
      <c r="I415" s="53"/>
      <c r="J415" s="169"/>
      <c r="K415" s="162"/>
      <c r="L415" s="57"/>
      <c r="M415" s="183" t="b">
        <v>0</v>
      </c>
      <c r="N415" s="342"/>
      <c r="O415" s="343"/>
      <c r="P415" s="343"/>
      <c r="Q415" s="344"/>
      <c r="R415" s="183" t="b">
        <v>0</v>
      </c>
      <c r="S415" s="53"/>
      <c r="T415" s="48"/>
      <c r="U415" s="49"/>
      <c r="V415" s="50"/>
      <c r="Y415" s="51">
        <f t="shared" si="29"/>
        <v>0</v>
      </c>
      <c r="Z415" s="51">
        <f t="shared" si="38"/>
        <v>0</v>
      </c>
      <c r="AA415" s="51">
        <f t="shared" si="39"/>
        <v>0</v>
      </c>
      <c r="AB415" s="51" t="str">
        <f t="shared" si="40"/>
        <v/>
      </c>
      <c r="AC415" s="51" t="str">
        <f t="shared" si="40"/>
        <v/>
      </c>
    </row>
    <row r="416" spans="1:29" s="51" customFormat="1" ht="33.75" customHeight="1">
      <c r="A416" s="52">
        <v>395</v>
      </c>
      <c r="B416" s="342"/>
      <c r="C416" s="343"/>
      <c r="D416" s="344"/>
      <c r="E416" s="45"/>
      <c r="F416" s="53"/>
      <c r="G416" s="53"/>
      <c r="H416" s="53"/>
      <c r="I416" s="53"/>
      <c r="J416" s="169"/>
      <c r="K416" s="162"/>
      <c r="L416" s="57"/>
      <c r="M416" s="183" t="b">
        <v>0</v>
      </c>
      <c r="N416" s="342"/>
      <c r="O416" s="343"/>
      <c r="P416" s="343"/>
      <c r="Q416" s="344"/>
      <c r="R416" s="183" t="b">
        <v>0</v>
      </c>
      <c r="S416" s="53"/>
      <c r="T416" s="48"/>
      <c r="U416" s="49"/>
      <c r="V416" s="50"/>
      <c r="Y416" s="51">
        <f t="shared" si="29"/>
        <v>0</v>
      </c>
      <c r="Z416" s="51">
        <f t="shared" si="38"/>
        <v>0</v>
      </c>
      <c r="AA416" s="51">
        <f t="shared" si="39"/>
        <v>0</v>
      </c>
      <c r="AB416" s="51" t="str">
        <f t="shared" si="40"/>
        <v/>
      </c>
      <c r="AC416" s="51" t="str">
        <f t="shared" si="40"/>
        <v/>
      </c>
    </row>
    <row r="417" spans="1:29" s="51" customFormat="1" ht="33.75" customHeight="1">
      <c r="A417" s="52">
        <v>396</v>
      </c>
      <c r="B417" s="342"/>
      <c r="C417" s="343"/>
      <c r="D417" s="344"/>
      <c r="E417" s="45"/>
      <c r="F417" s="53"/>
      <c r="G417" s="53"/>
      <c r="H417" s="53"/>
      <c r="I417" s="53"/>
      <c r="J417" s="169"/>
      <c r="K417" s="162"/>
      <c r="L417" s="57"/>
      <c r="M417" s="183" t="b">
        <v>0</v>
      </c>
      <c r="N417" s="342"/>
      <c r="O417" s="343"/>
      <c r="P417" s="343"/>
      <c r="Q417" s="344"/>
      <c r="R417" s="183" t="b">
        <v>0</v>
      </c>
      <c r="S417" s="53"/>
      <c r="T417" s="48"/>
      <c r="U417" s="49"/>
      <c r="V417" s="50"/>
      <c r="Y417" s="51">
        <f t="shared" si="29"/>
        <v>0</v>
      </c>
      <c r="Z417" s="51">
        <f t="shared" si="38"/>
        <v>0</v>
      </c>
      <c r="AA417" s="51">
        <f t="shared" si="39"/>
        <v>0</v>
      </c>
      <c r="AB417" s="51" t="str">
        <f t="shared" si="40"/>
        <v/>
      </c>
      <c r="AC417" s="51" t="str">
        <f t="shared" si="40"/>
        <v/>
      </c>
    </row>
    <row r="418" spans="1:29" s="51" customFormat="1" ht="33.75" customHeight="1">
      <c r="A418" s="52">
        <v>397</v>
      </c>
      <c r="B418" s="342"/>
      <c r="C418" s="343"/>
      <c r="D418" s="344"/>
      <c r="E418" s="45"/>
      <c r="F418" s="53"/>
      <c r="G418" s="53"/>
      <c r="H418" s="53"/>
      <c r="I418" s="53"/>
      <c r="J418" s="169"/>
      <c r="K418" s="162"/>
      <c r="L418" s="57"/>
      <c r="M418" s="183" t="b">
        <v>0</v>
      </c>
      <c r="N418" s="342"/>
      <c r="O418" s="343"/>
      <c r="P418" s="343"/>
      <c r="Q418" s="344"/>
      <c r="R418" s="183" t="b">
        <v>0</v>
      </c>
      <c r="S418" s="53"/>
      <c r="T418" s="48"/>
      <c r="U418" s="49"/>
      <c r="V418" s="50"/>
      <c r="Y418" s="51">
        <f t="shared" si="29"/>
        <v>0</v>
      </c>
      <c r="Z418" s="51">
        <f t="shared" si="38"/>
        <v>0</v>
      </c>
      <c r="AA418" s="51">
        <f t="shared" si="39"/>
        <v>0</v>
      </c>
      <c r="AB418" s="51" t="str">
        <f t="shared" si="40"/>
        <v/>
      </c>
      <c r="AC418" s="51" t="str">
        <f t="shared" si="40"/>
        <v/>
      </c>
    </row>
    <row r="419" spans="1:29" s="51" customFormat="1" ht="33.75" customHeight="1">
      <c r="A419" s="52">
        <v>398</v>
      </c>
      <c r="B419" s="342"/>
      <c r="C419" s="343"/>
      <c r="D419" s="344"/>
      <c r="E419" s="45"/>
      <c r="F419" s="53"/>
      <c r="G419" s="53"/>
      <c r="H419" s="53"/>
      <c r="I419" s="53"/>
      <c r="J419" s="169"/>
      <c r="K419" s="162"/>
      <c r="L419" s="57"/>
      <c r="M419" s="183" t="b">
        <v>0</v>
      </c>
      <c r="N419" s="342"/>
      <c r="O419" s="343"/>
      <c r="P419" s="343"/>
      <c r="Q419" s="344"/>
      <c r="R419" s="183" t="b">
        <v>0</v>
      </c>
      <c r="S419" s="53"/>
      <c r="T419" s="48"/>
      <c r="U419" s="49"/>
      <c r="V419" s="50"/>
      <c r="Y419" s="51">
        <f t="shared" si="29"/>
        <v>0</v>
      </c>
      <c r="Z419" s="51">
        <f t="shared" si="38"/>
        <v>0</v>
      </c>
      <c r="AA419" s="51">
        <f t="shared" si="39"/>
        <v>0</v>
      </c>
      <c r="AB419" s="51" t="str">
        <f t="shared" si="40"/>
        <v/>
      </c>
      <c r="AC419" s="51" t="str">
        <f t="shared" si="40"/>
        <v/>
      </c>
    </row>
    <row r="420" spans="1:29" s="51" customFormat="1" ht="33.75" customHeight="1">
      <c r="A420" s="52">
        <v>399</v>
      </c>
      <c r="B420" s="342"/>
      <c r="C420" s="343"/>
      <c r="D420" s="344"/>
      <c r="E420" s="45"/>
      <c r="F420" s="53"/>
      <c r="G420" s="53"/>
      <c r="H420" s="53"/>
      <c r="I420" s="53"/>
      <c r="J420" s="169"/>
      <c r="K420" s="162"/>
      <c r="L420" s="57"/>
      <c r="M420" s="183" t="b">
        <v>0</v>
      </c>
      <c r="N420" s="342"/>
      <c r="O420" s="343"/>
      <c r="P420" s="343"/>
      <c r="Q420" s="344"/>
      <c r="R420" s="183" t="b">
        <v>0</v>
      </c>
      <c r="S420" s="53"/>
      <c r="T420" s="48"/>
      <c r="U420" s="49"/>
      <c r="V420" s="50"/>
      <c r="Y420" s="51">
        <f t="shared" si="29"/>
        <v>0</v>
      </c>
      <c r="Z420" s="51">
        <f t="shared" si="38"/>
        <v>0</v>
      </c>
      <c r="AA420" s="51">
        <f t="shared" si="39"/>
        <v>0</v>
      </c>
      <c r="AB420" s="51" t="str">
        <f t="shared" si="40"/>
        <v/>
      </c>
      <c r="AC420" s="51" t="str">
        <f t="shared" si="40"/>
        <v/>
      </c>
    </row>
    <row r="421" spans="1:29" s="51" customFormat="1" ht="33.75" customHeight="1">
      <c r="A421" s="52">
        <v>400</v>
      </c>
      <c r="B421" s="342"/>
      <c r="C421" s="343"/>
      <c r="D421" s="344"/>
      <c r="E421" s="45"/>
      <c r="F421" s="53"/>
      <c r="G421" s="53"/>
      <c r="H421" s="53"/>
      <c r="I421" s="53"/>
      <c r="J421" s="169"/>
      <c r="K421" s="162"/>
      <c r="L421" s="57">
        <f t="shared" si="28"/>
        <v>0</v>
      </c>
      <c r="M421" s="183" t="b">
        <v>0</v>
      </c>
      <c r="N421" s="342"/>
      <c r="O421" s="343"/>
      <c r="P421" s="343"/>
      <c r="Q421" s="344"/>
      <c r="R421" s="183" t="b">
        <v>0</v>
      </c>
      <c r="S421" s="53"/>
      <c r="T421" s="48" t="b">
        <v>0</v>
      </c>
      <c r="U421" s="49"/>
      <c r="V421" s="50">
        <f t="shared" si="26"/>
        <v>0</v>
      </c>
      <c r="Y421" s="51">
        <f t="shared" si="29"/>
        <v>0</v>
      </c>
      <c r="Z421" s="51">
        <f t="shared" si="38"/>
        <v>0</v>
      </c>
      <c r="AA421" s="51">
        <f t="shared" si="39"/>
        <v>0</v>
      </c>
      <c r="AB421" s="51" t="str">
        <f t="shared" si="40"/>
        <v/>
      </c>
      <c r="AC421" s="51" t="str">
        <f t="shared" si="40"/>
        <v/>
      </c>
    </row>
    <row r="422" spans="1:29"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29" ht="21" customHeight="1">
      <c r="A423" s="22"/>
      <c r="B423" s="8"/>
      <c r="C423" s="8"/>
      <c r="D423" s="22"/>
      <c r="E423" s="22"/>
      <c r="F423" s="22"/>
      <c r="G423" s="22"/>
      <c r="H423" s="22"/>
      <c r="I423" s="22"/>
      <c r="J423" s="22"/>
      <c r="K423" s="22"/>
      <c r="L423" s="22"/>
      <c r="M423" s="22"/>
      <c r="N423" s="22"/>
      <c r="O423" s="22"/>
      <c r="P423" s="22"/>
      <c r="Q423" s="22"/>
      <c r="R423" s="22"/>
    </row>
    <row r="424" spans="1:29" ht="21" customHeight="1">
      <c r="A424" s="22"/>
      <c r="B424" s="8"/>
      <c r="C424" s="8"/>
      <c r="D424" s="22"/>
      <c r="E424" s="22"/>
      <c r="F424" s="22"/>
      <c r="G424" s="22"/>
      <c r="H424" s="22"/>
      <c r="I424" s="22"/>
      <c r="J424" s="22"/>
      <c r="K424" s="22"/>
      <c r="L424" s="22"/>
      <c r="M424" s="22"/>
      <c r="N424" s="22"/>
      <c r="O424" s="22"/>
      <c r="P424" s="22"/>
      <c r="Q424" s="22"/>
      <c r="R424" s="22"/>
    </row>
    <row r="425" spans="1:29" ht="16.5" customHeight="1">
      <c r="A425" s="22"/>
      <c r="D425" s="22"/>
      <c r="E425" s="22"/>
      <c r="F425" s="22"/>
      <c r="G425" s="22"/>
      <c r="H425" s="22"/>
      <c r="I425" s="22"/>
      <c r="J425" s="22"/>
      <c r="K425" s="22"/>
      <c r="L425" s="22"/>
      <c r="M425" s="22"/>
      <c r="N425" s="22"/>
      <c r="O425" s="22"/>
      <c r="P425" s="22"/>
      <c r="Q425" s="22"/>
      <c r="R425" s="22"/>
    </row>
    <row r="426" spans="1:29">
      <c r="A426" s="22"/>
      <c r="B426" s="22"/>
      <c r="C426" s="22"/>
      <c r="D426" s="22"/>
      <c r="E426" s="22"/>
      <c r="F426" s="22"/>
      <c r="G426" s="22"/>
      <c r="H426" s="22"/>
      <c r="I426" s="22"/>
      <c r="J426" s="22"/>
      <c r="K426" s="22"/>
      <c r="L426" s="22"/>
      <c r="M426" s="22"/>
      <c r="N426" s="22"/>
      <c r="O426" s="22"/>
      <c r="P426" s="22"/>
      <c r="Q426" s="22"/>
      <c r="R426" s="22"/>
    </row>
  </sheetData>
  <sheetProtection algorithmName="SHA-512" hashValue="ZoCWT96X2KFo4m4ZZrWM8HFxo7rye7Qf0S2FbztZMQgrsV4b7zc4mh2OxsruivjorO51F6csfHK0I2GNE+lJpg==" saltValue="LAEMdws60THCdiCvAKfdsw==" spinCount="100000" sheet="1" selectLockedCells="1" autoFilter="0"/>
  <mergeCells count="867">
    <mergeCell ref="N419:Q419"/>
    <mergeCell ref="N420:Q420"/>
    <mergeCell ref="N410:Q410"/>
    <mergeCell ref="N411:Q411"/>
    <mergeCell ref="N412:Q412"/>
    <mergeCell ref="N413:Q413"/>
    <mergeCell ref="N414:Q414"/>
    <mergeCell ref="N415:Q415"/>
    <mergeCell ref="N416:Q416"/>
    <mergeCell ref="N417:Q417"/>
    <mergeCell ref="N418:Q418"/>
    <mergeCell ref="N401:Q401"/>
    <mergeCell ref="N402:Q402"/>
    <mergeCell ref="N403:Q403"/>
    <mergeCell ref="N404:Q404"/>
    <mergeCell ref="N405:Q405"/>
    <mergeCell ref="N406:Q406"/>
    <mergeCell ref="N407:Q407"/>
    <mergeCell ref="N408:Q408"/>
    <mergeCell ref="N409:Q409"/>
    <mergeCell ref="N392:Q392"/>
    <mergeCell ref="N393:Q393"/>
    <mergeCell ref="N394:Q394"/>
    <mergeCell ref="N395:Q395"/>
    <mergeCell ref="N396:Q396"/>
    <mergeCell ref="N397:Q397"/>
    <mergeCell ref="N398:Q398"/>
    <mergeCell ref="N399:Q399"/>
    <mergeCell ref="N400:Q400"/>
    <mergeCell ref="N383:Q383"/>
    <mergeCell ref="N384:Q384"/>
    <mergeCell ref="N385:Q385"/>
    <mergeCell ref="N386:Q386"/>
    <mergeCell ref="N387:Q387"/>
    <mergeCell ref="N388:Q388"/>
    <mergeCell ref="N389:Q389"/>
    <mergeCell ref="N390:Q390"/>
    <mergeCell ref="N391:Q391"/>
    <mergeCell ref="N374:Q374"/>
    <mergeCell ref="N375:Q375"/>
    <mergeCell ref="N376:Q376"/>
    <mergeCell ref="N377:Q377"/>
    <mergeCell ref="N378:Q378"/>
    <mergeCell ref="N379:Q379"/>
    <mergeCell ref="N380:Q380"/>
    <mergeCell ref="N381:Q381"/>
    <mergeCell ref="N382:Q382"/>
    <mergeCell ref="N365:Q365"/>
    <mergeCell ref="N366:Q366"/>
    <mergeCell ref="N367:Q367"/>
    <mergeCell ref="N368:Q368"/>
    <mergeCell ref="N369:Q369"/>
    <mergeCell ref="N370:Q370"/>
    <mergeCell ref="N371:Q371"/>
    <mergeCell ref="N372:Q372"/>
    <mergeCell ref="N373:Q373"/>
    <mergeCell ref="N356:Q356"/>
    <mergeCell ref="N357:Q357"/>
    <mergeCell ref="N358:Q358"/>
    <mergeCell ref="N359:Q359"/>
    <mergeCell ref="N360:Q360"/>
    <mergeCell ref="N361:Q361"/>
    <mergeCell ref="N362:Q362"/>
    <mergeCell ref="N363:Q363"/>
    <mergeCell ref="N364:Q364"/>
    <mergeCell ref="N347:Q347"/>
    <mergeCell ref="N348:Q348"/>
    <mergeCell ref="N349:Q349"/>
    <mergeCell ref="N350:Q350"/>
    <mergeCell ref="N351:Q351"/>
    <mergeCell ref="N352:Q352"/>
    <mergeCell ref="N353:Q353"/>
    <mergeCell ref="N354:Q354"/>
    <mergeCell ref="N355:Q355"/>
    <mergeCell ref="N338:Q338"/>
    <mergeCell ref="N339:Q339"/>
    <mergeCell ref="N340:Q340"/>
    <mergeCell ref="N341:Q341"/>
    <mergeCell ref="N342:Q342"/>
    <mergeCell ref="N343:Q343"/>
    <mergeCell ref="N344:Q344"/>
    <mergeCell ref="N345:Q345"/>
    <mergeCell ref="N346:Q346"/>
    <mergeCell ref="N329:Q329"/>
    <mergeCell ref="N330:Q330"/>
    <mergeCell ref="N331:Q331"/>
    <mergeCell ref="N332:Q332"/>
    <mergeCell ref="N333:Q333"/>
    <mergeCell ref="N334:Q334"/>
    <mergeCell ref="N335:Q335"/>
    <mergeCell ref="N336:Q336"/>
    <mergeCell ref="N337:Q337"/>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B407:D407"/>
    <mergeCell ref="B408:D408"/>
    <mergeCell ref="B409:D409"/>
    <mergeCell ref="B410:D410"/>
    <mergeCell ref="B411:D411"/>
    <mergeCell ref="B412:D412"/>
    <mergeCell ref="B413:D413"/>
    <mergeCell ref="B414:D414"/>
    <mergeCell ref="B415:D415"/>
    <mergeCell ref="B398:D398"/>
    <mergeCell ref="B399:D399"/>
    <mergeCell ref="B400:D400"/>
    <mergeCell ref="B401:D401"/>
    <mergeCell ref="B402:D402"/>
    <mergeCell ref="B403:D403"/>
    <mergeCell ref="B404:D404"/>
    <mergeCell ref="B405:D405"/>
    <mergeCell ref="B406:D406"/>
    <mergeCell ref="B389:D389"/>
    <mergeCell ref="B390:D390"/>
    <mergeCell ref="B391:D391"/>
    <mergeCell ref="B392:D392"/>
    <mergeCell ref="B393:D393"/>
    <mergeCell ref="B394:D394"/>
    <mergeCell ref="B395:D395"/>
    <mergeCell ref="B396:D396"/>
    <mergeCell ref="B397:D397"/>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2:D362"/>
    <mergeCell ref="B363:D363"/>
    <mergeCell ref="B364:D364"/>
    <mergeCell ref="B365:D365"/>
    <mergeCell ref="B366:D366"/>
    <mergeCell ref="B367:D367"/>
    <mergeCell ref="B368:D368"/>
    <mergeCell ref="B369:D369"/>
    <mergeCell ref="B370:D370"/>
    <mergeCell ref="B353:D353"/>
    <mergeCell ref="B354:D354"/>
    <mergeCell ref="B355:D355"/>
    <mergeCell ref="B356:D356"/>
    <mergeCell ref="B357:D357"/>
    <mergeCell ref="B358:D358"/>
    <mergeCell ref="B359:D359"/>
    <mergeCell ref="B360:D360"/>
    <mergeCell ref="B361:D361"/>
    <mergeCell ref="B344:D344"/>
    <mergeCell ref="B345:D345"/>
    <mergeCell ref="B346:D346"/>
    <mergeCell ref="B347:D347"/>
    <mergeCell ref="B348:D348"/>
    <mergeCell ref="B349:D349"/>
    <mergeCell ref="B350:D350"/>
    <mergeCell ref="B351:D351"/>
    <mergeCell ref="B352:D352"/>
    <mergeCell ref="B335:D335"/>
    <mergeCell ref="B336:D336"/>
    <mergeCell ref="B337:D337"/>
    <mergeCell ref="B338:D338"/>
    <mergeCell ref="B339:D339"/>
    <mergeCell ref="B340:D340"/>
    <mergeCell ref="B341:D341"/>
    <mergeCell ref="B342:D342"/>
    <mergeCell ref="B343:D343"/>
    <mergeCell ref="B326:D326"/>
    <mergeCell ref="B327:D327"/>
    <mergeCell ref="B328:D328"/>
    <mergeCell ref="B329:D329"/>
    <mergeCell ref="B330:D330"/>
    <mergeCell ref="B331:D331"/>
    <mergeCell ref="B332:D332"/>
    <mergeCell ref="B333:D333"/>
    <mergeCell ref="B334:D334"/>
    <mergeCell ref="B317:D317"/>
    <mergeCell ref="B318:D318"/>
    <mergeCell ref="B319:D319"/>
    <mergeCell ref="B320:D320"/>
    <mergeCell ref="B321:D321"/>
    <mergeCell ref="B322:D322"/>
    <mergeCell ref="B323:D323"/>
    <mergeCell ref="B324:D324"/>
    <mergeCell ref="B325:D325"/>
    <mergeCell ref="B308:D308"/>
    <mergeCell ref="B309:D309"/>
    <mergeCell ref="B310:D310"/>
    <mergeCell ref="B311:D311"/>
    <mergeCell ref="B312:D312"/>
    <mergeCell ref="B313:D313"/>
    <mergeCell ref="B314:D314"/>
    <mergeCell ref="B315:D315"/>
    <mergeCell ref="B316:D31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N278:Q278"/>
    <mergeCell ref="N279:Q279"/>
    <mergeCell ref="N280:Q280"/>
    <mergeCell ref="N281:Q281"/>
    <mergeCell ref="N282:Q282"/>
    <mergeCell ref="N283:Q283"/>
    <mergeCell ref="N284:Q284"/>
    <mergeCell ref="N285:Q285"/>
    <mergeCell ref="N286:Q286"/>
    <mergeCell ref="N269:Q269"/>
    <mergeCell ref="N270:Q270"/>
    <mergeCell ref="N271:Q271"/>
    <mergeCell ref="N272:Q272"/>
    <mergeCell ref="N273:Q273"/>
    <mergeCell ref="N274:Q274"/>
    <mergeCell ref="N275:Q275"/>
    <mergeCell ref="N276:Q276"/>
    <mergeCell ref="N277:Q277"/>
    <mergeCell ref="N260:Q260"/>
    <mergeCell ref="N261:Q261"/>
    <mergeCell ref="N262:Q262"/>
    <mergeCell ref="N263:Q263"/>
    <mergeCell ref="N264:Q264"/>
    <mergeCell ref="N265:Q265"/>
    <mergeCell ref="N266:Q266"/>
    <mergeCell ref="N267:Q267"/>
    <mergeCell ref="N268:Q268"/>
    <mergeCell ref="N251:Q251"/>
    <mergeCell ref="N252:Q252"/>
    <mergeCell ref="N253:Q253"/>
    <mergeCell ref="N254:Q254"/>
    <mergeCell ref="N255:Q255"/>
    <mergeCell ref="N256:Q256"/>
    <mergeCell ref="N257:Q257"/>
    <mergeCell ref="N258:Q258"/>
    <mergeCell ref="N259:Q259"/>
    <mergeCell ref="N242:Q242"/>
    <mergeCell ref="N243:Q243"/>
    <mergeCell ref="N244:Q244"/>
    <mergeCell ref="N245:Q245"/>
    <mergeCell ref="N246:Q246"/>
    <mergeCell ref="N247:Q247"/>
    <mergeCell ref="N248:Q248"/>
    <mergeCell ref="N249:Q249"/>
    <mergeCell ref="N250:Q250"/>
    <mergeCell ref="N233:Q233"/>
    <mergeCell ref="N234:Q234"/>
    <mergeCell ref="N235:Q235"/>
    <mergeCell ref="N236:Q236"/>
    <mergeCell ref="N237:Q237"/>
    <mergeCell ref="N238:Q238"/>
    <mergeCell ref="N239:Q239"/>
    <mergeCell ref="N240:Q240"/>
    <mergeCell ref="N241:Q241"/>
    <mergeCell ref="N224:Q224"/>
    <mergeCell ref="N225:Q225"/>
    <mergeCell ref="N226:Q226"/>
    <mergeCell ref="N227:Q227"/>
    <mergeCell ref="N228:Q228"/>
    <mergeCell ref="N229:Q229"/>
    <mergeCell ref="N230:Q230"/>
    <mergeCell ref="N231:Q231"/>
    <mergeCell ref="N232:Q232"/>
    <mergeCell ref="N215:Q215"/>
    <mergeCell ref="N216:Q216"/>
    <mergeCell ref="N217:Q217"/>
    <mergeCell ref="N218:Q218"/>
    <mergeCell ref="N219:Q219"/>
    <mergeCell ref="N220:Q220"/>
    <mergeCell ref="N221:Q221"/>
    <mergeCell ref="N222:Q222"/>
    <mergeCell ref="N223:Q223"/>
    <mergeCell ref="N206:Q206"/>
    <mergeCell ref="N207:Q207"/>
    <mergeCell ref="N208:Q208"/>
    <mergeCell ref="N209:Q209"/>
    <mergeCell ref="N210:Q210"/>
    <mergeCell ref="N211:Q211"/>
    <mergeCell ref="N212:Q212"/>
    <mergeCell ref="N213:Q213"/>
    <mergeCell ref="N214:Q214"/>
    <mergeCell ref="N197:Q197"/>
    <mergeCell ref="N198:Q198"/>
    <mergeCell ref="N199:Q199"/>
    <mergeCell ref="N200:Q200"/>
    <mergeCell ref="N201:Q201"/>
    <mergeCell ref="N202:Q202"/>
    <mergeCell ref="N203:Q203"/>
    <mergeCell ref="N204:Q204"/>
    <mergeCell ref="N205:Q205"/>
    <mergeCell ref="N188:Q188"/>
    <mergeCell ref="N189:Q189"/>
    <mergeCell ref="N190:Q190"/>
    <mergeCell ref="N191:Q191"/>
    <mergeCell ref="N192:Q192"/>
    <mergeCell ref="N193:Q193"/>
    <mergeCell ref="N194:Q194"/>
    <mergeCell ref="N195:Q195"/>
    <mergeCell ref="N196:Q196"/>
    <mergeCell ref="N179:Q179"/>
    <mergeCell ref="N180:Q180"/>
    <mergeCell ref="N181:Q181"/>
    <mergeCell ref="N182:Q182"/>
    <mergeCell ref="N183:Q183"/>
    <mergeCell ref="N184:Q184"/>
    <mergeCell ref="N185:Q185"/>
    <mergeCell ref="N186:Q186"/>
    <mergeCell ref="N187:Q187"/>
    <mergeCell ref="N170:Q170"/>
    <mergeCell ref="N171:Q171"/>
    <mergeCell ref="N172:Q172"/>
    <mergeCell ref="N173:Q173"/>
    <mergeCell ref="N174:Q174"/>
    <mergeCell ref="N175:Q175"/>
    <mergeCell ref="N176:Q176"/>
    <mergeCell ref="N177:Q177"/>
    <mergeCell ref="N178:Q178"/>
    <mergeCell ref="N161:Q161"/>
    <mergeCell ref="N162:Q162"/>
    <mergeCell ref="N163:Q163"/>
    <mergeCell ref="N164:Q164"/>
    <mergeCell ref="N165:Q165"/>
    <mergeCell ref="N166:Q166"/>
    <mergeCell ref="N167:Q167"/>
    <mergeCell ref="N168:Q168"/>
    <mergeCell ref="N169:Q169"/>
    <mergeCell ref="N152:Q152"/>
    <mergeCell ref="N153:Q153"/>
    <mergeCell ref="N154:Q154"/>
    <mergeCell ref="N155:Q155"/>
    <mergeCell ref="N156:Q156"/>
    <mergeCell ref="N157:Q157"/>
    <mergeCell ref="N158:Q158"/>
    <mergeCell ref="N159:Q159"/>
    <mergeCell ref="N160:Q160"/>
    <mergeCell ref="N143:Q143"/>
    <mergeCell ref="N144:Q144"/>
    <mergeCell ref="N145:Q145"/>
    <mergeCell ref="N146:Q146"/>
    <mergeCell ref="N147:Q147"/>
    <mergeCell ref="N148:Q148"/>
    <mergeCell ref="N149:Q149"/>
    <mergeCell ref="N150:Q150"/>
    <mergeCell ref="N151:Q151"/>
    <mergeCell ref="N134:Q134"/>
    <mergeCell ref="N135:Q135"/>
    <mergeCell ref="N136:Q136"/>
    <mergeCell ref="N137:Q137"/>
    <mergeCell ref="N138:Q138"/>
    <mergeCell ref="N139:Q139"/>
    <mergeCell ref="N140:Q140"/>
    <mergeCell ref="N141:Q141"/>
    <mergeCell ref="N142:Q142"/>
    <mergeCell ref="N125:Q125"/>
    <mergeCell ref="N126:Q126"/>
    <mergeCell ref="N127:Q127"/>
    <mergeCell ref="N128:Q128"/>
    <mergeCell ref="N129:Q129"/>
    <mergeCell ref="N130:Q130"/>
    <mergeCell ref="N131:Q131"/>
    <mergeCell ref="N132:Q132"/>
    <mergeCell ref="N133:Q133"/>
    <mergeCell ref="N116:Q116"/>
    <mergeCell ref="N117:Q117"/>
    <mergeCell ref="N118:Q118"/>
    <mergeCell ref="N119:Q119"/>
    <mergeCell ref="N120:Q120"/>
    <mergeCell ref="N121:Q121"/>
    <mergeCell ref="N122:Q122"/>
    <mergeCell ref="N123:Q123"/>
    <mergeCell ref="N124:Q124"/>
    <mergeCell ref="N107:Q107"/>
    <mergeCell ref="N108:Q108"/>
    <mergeCell ref="N109:Q109"/>
    <mergeCell ref="N110:Q110"/>
    <mergeCell ref="N111:Q111"/>
    <mergeCell ref="N112:Q112"/>
    <mergeCell ref="N113:Q113"/>
    <mergeCell ref="N114:Q114"/>
    <mergeCell ref="N115:Q115"/>
    <mergeCell ref="N98:Q98"/>
    <mergeCell ref="N99:Q99"/>
    <mergeCell ref="N100:Q100"/>
    <mergeCell ref="N101:Q101"/>
    <mergeCell ref="N102:Q102"/>
    <mergeCell ref="N103:Q103"/>
    <mergeCell ref="N104:Q104"/>
    <mergeCell ref="N105:Q105"/>
    <mergeCell ref="N106:Q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35:Q35"/>
    <mergeCell ref="N36:Q36"/>
    <mergeCell ref="N37:Q37"/>
    <mergeCell ref="N38:Q38"/>
    <mergeCell ref="N39:Q39"/>
    <mergeCell ref="N40:Q40"/>
    <mergeCell ref="N41:Q41"/>
    <mergeCell ref="N42:Q42"/>
    <mergeCell ref="N43:Q43"/>
    <mergeCell ref="N26:Q26"/>
    <mergeCell ref="N27:Q27"/>
    <mergeCell ref="N28:Q28"/>
    <mergeCell ref="N29:Q29"/>
    <mergeCell ref="N30:Q30"/>
    <mergeCell ref="N31:Q31"/>
    <mergeCell ref="N32:Q32"/>
    <mergeCell ref="N33:Q33"/>
    <mergeCell ref="N34:Q34"/>
    <mergeCell ref="N19:Q21"/>
    <mergeCell ref="H16:H17"/>
    <mergeCell ref="A16:A17"/>
    <mergeCell ref="B16:B17"/>
    <mergeCell ref="N22:Q22"/>
    <mergeCell ref="N23:Q23"/>
    <mergeCell ref="N24:Q24"/>
    <mergeCell ref="N25:Q25"/>
    <mergeCell ref="P16:P17"/>
    <mergeCell ref="L16:L17"/>
    <mergeCell ref="M19:M21"/>
    <mergeCell ref="L19:L21"/>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4:D204"/>
    <mergeCell ref="B205:D205"/>
    <mergeCell ref="B206:D206"/>
    <mergeCell ref="B207:D207"/>
    <mergeCell ref="B208:D208"/>
    <mergeCell ref="B209:D209"/>
    <mergeCell ref="B198:D198"/>
    <mergeCell ref="B199:D199"/>
    <mergeCell ref="B200:D200"/>
    <mergeCell ref="B201:D201"/>
    <mergeCell ref="B202:D202"/>
    <mergeCell ref="B203:D203"/>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67:D67"/>
    <mergeCell ref="B68:D68"/>
    <mergeCell ref="B69:D69"/>
    <mergeCell ref="B70:D70"/>
    <mergeCell ref="B71:D71"/>
    <mergeCell ref="B72:D72"/>
    <mergeCell ref="B73:D73"/>
    <mergeCell ref="B74:D74"/>
    <mergeCell ref="B75:D75"/>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s>
  <phoneticPr fontId="1"/>
  <conditionalFormatting sqref="B126:D300 B301:B420 B421:D421">
    <cfRule type="containsBlanks" dxfId="115" priority="14">
      <formula>LEN(TRIM(B126))=0</formula>
    </cfRule>
  </conditionalFormatting>
  <conditionalFormatting sqref="E126:E421">
    <cfRule type="expression" dxfId="114" priority="22">
      <formula>IF($B126="","",IF($E126="",1,""))=1</formula>
    </cfRule>
  </conditionalFormatting>
  <conditionalFormatting sqref="F126:F421">
    <cfRule type="expression" dxfId="113" priority="21">
      <formula>IF($M$9&lt;1,"",IF($B126="","",IF($J126:$K126="",IF($F126="",1,""),"")))=1</formula>
    </cfRule>
  </conditionalFormatting>
  <conditionalFormatting sqref="G126:G421">
    <cfRule type="expression" dxfId="112" priority="20">
      <formula>IF($M$9&lt;2,"",IF($B126="","",IF($J126="",IF($G126="",1,""),"")))=1</formula>
    </cfRule>
  </conditionalFormatting>
  <conditionalFormatting sqref="H126:H421">
    <cfRule type="expression" dxfId="111" priority="19">
      <formula>IF($M$9&lt;3,"",IF($B126="","",IF($J126="",IF($H126="",1,""),"")))=1</formula>
    </cfRule>
  </conditionalFormatting>
  <conditionalFormatting sqref="I126:I421">
    <cfRule type="expression" dxfId="110" priority="18">
      <formula>IF($M$9&lt;4,"",IF($B126="","",IF($J126="",IF($I126="",1,""),"")))=1</formula>
    </cfRule>
  </conditionalFormatting>
  <conditionalFormatting sqref="J7:K7 J12:S12">
    <cfRule type="containsBlanks" dxfId="109" priority="15">
      <formula>LEN(TRIM(J7))=0</formula>
    </cfRule>
  </conditionalFormatting>
  <conditionalFormatting sqref="K126:K421">
    <cfRule type="expression" dxfId="108" priority="28">
      <formula>IF(OR(COUNTA($J126)=0,COUNTA($J126:$K126)=2),"",1)=1</formula>
    </cfRule>
  </conditionalFormatting>
  <conditionalFormatting sqref="M126:M421 R22:R421">
    <cfRule type="expression" dxfId="107" priority="12">
      <formula>IF(M22=TRUE,1,0)=1</formula>
    </cfRule>
  </conditionalFormatting>
  <conditionalFormatting sqref="N126:Q300 N301:N421">
    <cfRule type="expression" dxfId="106" priority="11">
      <formula>IF($B126="","",IF($N126="",1,0))=1</formula>
    </cfRule>
  </conditionalFormatting>
  <conditionalFormatting sqref="P6 R6 M6:M10 A7:I7 I8:K10 D8:G12 I11:S11">
    <cfRule type="containsBlanks" dxfId="105" priority="13">
      <formula>LEN(TRIM(A6))=0</formula>
    </cfRule>
  </conditionalFormatting>
  <conditionalFormatting sqref="B22:D125">
    <cfRule type="containsBlanks" dxfId="9" priority="3">
      <formula>LEN(TRIM(B22))=0</formula>
    </cfRule>
  </conditionalFormatting>
  <conditionalFormatting sqref="E22:E125">
    <cfRule type="expression" dxfId="8" priority="8">
      <formula>IF($B22="","",IF($E22="",1,""))=1</formula>
    </cfRule>
  </conditionalFormatting>
  <conditionalFormatting sqref="F22:F125">
    <cfRule type="expression" dxfId="7" priority="7">
      <formula>IF($M$9&lt;1,"",IF($B22="","",IF($J22:$K22="",IF($F22="",1,""),"")))=1</formula>
    </cfRule>
  </conditionalFormatting>
  <conditionalFormatting sqref="G22:G125">
    <cfRule type="expression" dxfId="6" priority="6">
      <formula>IF($M$9&lt;2,"",IF($B22="","",IF($J22="",IF($G22="",1,""),"")))=1</formula>
    </cfRule>
  </conditionalFormatting>
  <conditionalFormatting sqref="H22:H125">
    <cfRule type="expression" dxfId="5" priority="5">
      <formula>IF($M$9&lt;3,"",IF($B22="","",IF($J22="",IF($H22="",1,""),"")))=1</formula>
    </cfRule>
  </conditionalFormatting>
  <conditionalFormatting sqref="I22:I125">
    <cfRule type="expression" dxfId="4" priority="4">
      <formula>IF($M$9&lt;4,"",IF($B22="","",IF($J22="",IF($I22="",1,""),"")))=1</formula>
    </cfRule>
  </conditionalFormatting>
  <conditionalFormatting sqref="K22:K125">
    <cfRule type="expression" dxfId="3" priority="9">
      <formula>IF(OR(COUNTA($J22)=0,COUNTA($J22:$K22)=2),"",1)=1</formula>
    </cfRule>
  </conditionalFormatting>
  <conditionalFormatting sqref="M22:M125">
    <cfRule type="expression" dxfId="2" priority="2">
      <formula>IF(M22=TRUE,1,0)=1</formula>
    </cfRule>
  </conditionalFormatting>
  <conditionalFormatting sqref="N22:Q35 N37:Q107 N109:Q125">
    <cfRule type="expression" dxfId="1" priority="1">
      <formula>IF($B22="","",IF($N22="",1,0))=1</formula>
    </cfRule>
  </conditionalFormatting>
  <conditionalFormatting sqref="N36:Q36">
    <cfRule type="expression" dxfId="0" priority="10">
      <formula>IF($B108="","",IF($N36="",1,0))=1</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0CC7A-0997-42F3-A720-E0107CB1B916}">
  <sheetPr>
    <tabColor rgb="FFFF0000"/>
    <pageSetUpPr fitToPage="1"/>
  </sheetPr>
  <dimension ref="A1:S55"/>
  <sheetViews>
    <sheetView showZeros="0" zoomScale="85" zoomScaleNormal="85" workbookViewId="0">
      <selection activeCell="U31" sqref="U31"/>
    </sheetView>
  </sheetViews>
  <sheetFormatPr defaultRowHeight="13.5"/>
  <sheetData>
    <row r="1" spans="1:19" ht="42">
      <c r="A1" s="348" t="s">
        <v>34</v>
      </c>
      <c r="B1" s="348"/>
      <c r="C1" s="348"/>
      <c r="D1" s="348"/>
      <c r="E1" s="348"/>
      <c r="F1" s="348"/>
      <c r="G1" s="11"/>
      <c r="H1" s="403"/>
      <c r="I1" s="403"/>
      <c r="J1" s="403"/>
      <c r="K1" s="403"/>
      <c r="L1" s="180"/>
      <c r="M1" s="416" t="s">
        <v>284</v>
      </c>
      <c r="N1" s="416"/>
      <c r="O1" s="416"/>
      <c r="P1" s="5"/>
      <c r="Q1" s="5"/>
      <c r="R1" s="115" t="s">
        <v>224</v>
      </c>
      <c r="S1" s="129"/>
    </row>
    <row r="2" spans="1:19" ht="42">
      <c r="A2" s="348"/>
      <c r="B2" s="348"/>
      <c r="C2" s="348"/>
      <c r="D2" s="348"/>
      <c r="E2" s="348"/>
      <c r="F2" s="348"/>
      <c r="G2" s="11"/>
      <c r="H2" s="403"/>
      <c r="I2" s="403"/>
      <c r="J2" s="403"/>
      <c r="K2" s="403"/>
      <c r="L2" s="181"/>
      <c r="M2" s="415" t="s">
        <v>285</v>
      </c>
      <c r="N2" s="415"/>
      <c r="O2" s="415"/>
      <c r="P2" s="402">
        <f ca="1">TODAY()</f>
        <v>46152</v>
      </c>
      <c r="Q2" s="402"/>
      <c r="R2" s="402"/>
      <c r="S2" s="58" t="s">
        <v>33</v>
      </c>
    </row>
    <row r="3" spans="1:19" ht="14.25" thickBot="1">
      <c r="A3" s="5"/>
      <c r="B3" s="5"/>
      <c r="C3" s="5"/>
      <c r="D3" s="5"/>
      <c r="E3" s="5"/>
      <c r="F3" s="5"/>
      <c r="G3" s="5"/>
      <c r="H3" s="5"/>
      <c r="I3" s="5"/>
      <c r="J3" s="5"/>
      <c r="K3" s="5"/>
      <c r="L3" s="5"/>
      <c r="M3" s="5"/>
      <c r="N3" s="5"/>
      <c r="O3" s="5"/>
      <c r="P3" s="5"/>
      <c r="Q3" s="5"/>
      <c r="R3" s="5"/>
      <c r="S3" s="5"/>
    </row>
    <row r="4" spans="1:19" ht="28.5">
      <c r="A4" s="393" t="s">
        <v>225</v>
      </c>
      <c r="B4" s="394"/>
      <c r="C4" s="394"/>
      <c r="D4" s="394"/>
      <c r="E4" s="394"/>
      <c r="F4" s="394"/>
      <c r="G4" s="394"/>
      <c r="H4" s="395"/>
      <c r="I4" s="211" t="s">
        <v>277</v>
      </c>
      <c r="J4" s="211" t="s">
        <v>283</v>
      </c>
      <c r="K4" s="210" t="s">
        <v>292</v>
      </c>
      <c r="L4" s="410" t="s">
        <v>127</v>
      </c>
      <c r="M4" s="407" t="str">
        <f>IF(宿泊者名簿!M6="","",宿泊者名簿!M6)</f>
        <v/>
      </c>
      <c r="N4" s="404" t="s">
        <v>128</v>
      </c>
      <c r="O4" s="116" t="s">
        <v>50</v>
      </c>
      <c r="P4" s="112" t="str">
        <f>IF(宿泊者名簿!P6="","",宿泊者名簿!P6)</f>
        <v/>
      </c>
      <c r="Q4" s="118" t="s">
        <v>48</v>
      </c>
      <c r="R4" s="113" t="str">
        <f>IF(宿泊者名簿!R6="","",宿泊者名簿!R6)</f>
        <v/>
      </c>
      <c r="S4" s="120" t="s">
        <v>49</v>
      </c>
    </row>
    <row r="5" spans="1:19" ht="31.5" thickBot="1">
      <c r="A5" s="396" t="str">
        <f>IF(宿泊者名簿!A7="","",宿泊者名簿!A7)</f>
        <v/>
      </c>
      <c r="B5" s="397"/>
      <c r="C5" s="397"/>
      <c r="D5" s="397"/>
      <c r="E5" s="397"/>
      <c r="F5" s="397"/>
      <c r="G5" s="397"/>
      <c r="H5" s="398"/>
      <c r="I5" s="208" t="str">
        <f>IF(宿泊者名簿!I7="","",宿泊者名簿!I7)</f>
        <v/>
      </c>
      <c r="J5" s="209" t="str">
        <f>IF(宿泊者名簿!J7="","",宿泊者名簿!J7)</f>
        <v/>
      </c>
      <c r="K5" s="179" t="str">
        <f>IF(宿泊者名簿!K7="","",宿泊者名簿!K7)</f>
        <v/>
      </c>
      <c r="L5" s="411"/>
      <c r="M5" s="408"/>
      <c r="N5" s="405"/>
      <c r="O5" s="117" t="s">
        <v>51</v>
      </c>
      <c r="P5" s="176" t="str">
        <f>IF($M$9&gt;1.1,MONTH(DATE($M$6+2018,$P$6,$R$6+1)),"")</f>
        <v/>
      </c>
      <c r="Q5" s="119" t="s">
        <v>48</v>
      </c>
      <c r="R5" s="177" t="str">
        <f>IF($M$9&gt;1.1,DAY(DATE($M$6+2018,$P$6,$R$6+1)),"")</f>
        <v/>
      </c>
      <c r="S5" s="121" t="s">
        <v>49</v>
      </c>
    </row>
    <row r="6" spans="1:19" ht="28.5">
      <c r="A6" s="413" t="s">
        <v>129</v>
      </c>
      <c r="B6" s="414"/>
      <c r="C6" s="414"/>
      <c r="D6" s="424" t="str">
        <f>IF(宿泊者名簿!D8="","",宿泊者名簿!D8)</f>
        <v/>
      </c>
      <c r="E6" s="425"/>
      <c r="F6" s="425"/>
      <c r="G6" s="426"/>
      <c r="H6" s="122" t="s">
        <v>130</v>
      </c>
      <c r="I6" s="430" t="str">
        <f>IF(宿泊者名簿!I8="","",宿泊者名簿!I8)</f>
        <v/>
      </c>
      <c r="J6" s="431"/>
      <c r="K6" s="432"/>
      <c r="L6" s="412"/>
      <c r="M6" s="409"/>
      <c r="N6" s="406"/>
      <c r="O6" s="117" t="s">
        <v>52</v>
      </c>
      <c r="P6" s="176" t="str">
        <f>IF($M$9&gt;2.1,MONTH(DATE($M$6+2018,$P$6,$R$6+2)),"")</f>
        <v/>
      </c>
      <c r="Q6" s="119" t="s">
        <v>48</v>
      </c>
      <c r="R6" s="177" t="str">
        <f>IF($M$9&gt;2.1,DAY(DATE($M$6+2018,$P$6,$R$6+2)),"")</f>
        <v/>
      </c>
      <c r="S6" s="121" t="s">
        <v>49</v>
      </c>
    </row>
    <row r="7" spans="1:19">
      <c r="A7" s="427" t="s">
        <v>228</v>
      </c>
      <c r="B7" s="428"/>
      <c r="C7" s="429"/>
      <c r="D7" s="433" t="str">
        <f>IF(宿泊者名簿!D9="","",宿泊者名簿!D9)</f>
        <v/>
      </c>
      <c r="E7" s="434"/>
      <c r="F7" s="434"/>
      <c r="G7" s="435"/>
      <c r="H7" s="446" t="s">
        <v>162</v>
      </c>
      <c r="I7" s="436" t="str">
        <f>IF(宿泊者名簿!I9="","",宿泊者名簿!I9)</f>
        <v/>
      </c>
      <c r="J7" s="437"/>
      <c r="K7" s="437"/>
      <c r="L7" s="440" t="s">
        <v>219</v>
      </c>
      <c r="M7" s="442"/>
      <c r="N7" s="444" t="s">
        <v>227</v>
      </c>
      <c r="O7" s="446" t="s">
        <v>53</v>
      </c>
      <c r="P7" s="448" t="str">
        <f>IF($M$9&gt;3.1,MONTH(DATE($M$6+2018,$P$6,$R$6+3)),"")</f>
        <v/>
      </c>
      <c r="Q7" s="450" t="s">
        <v>48</v>
      </c>
      <c r="R7" s="448" t="str">
        <f>IF($M$9&gt;3.1,DAY(DATE($M$6+2018,$P$6,$R$6+3)),"")</f>
        <v/>
      </c>
      <c r="S7" s="417" t="s">
        <v>49</v>
      </c>
    </row>
    <row r="8" spans="1:19" ht="30.75" customHeight="1" thickBot="1">
      <c r="A8" s="418" t="s">
        <v>229</v>
      </c>
      <c r="B8" s="419"/>
      <c r="C8" s="420"/>
      <c r="D8" s="421" t="str">
        <f>IF(宿泊者名簿!D10="","",宿泊者名簿!D10)</f>
        <v/>
      </c>
      <c r="E8" s="422"/>
      <c r="F8" s="422"/>
      <c r="G8" s="423"/>
      <c r="H8" s="447"/>
      <c r="I8" s="438"/>
      <c r="J8" s="439"/>
      <c r="K8" s="439"/>
      <c r="L8" s="441"/>
      <c r="M8" s="443"/>
      <c r="N8" s="445"/>
      <c r="O8" s="447"/>
      <c r="P8" s="449" t="str">
        <f>IF($M$9&gt;1.1,MONTH(DATE($M$6,$P$6,$R$6)),"")</f>
        <v/>
      </c>
      <c r="Q8" s="373"/>
      <c r="R8" s="449" t="str">
        <f>IF($M$9&gt;1.1,DAY(DATE($M$6,$P$6,$R$6+1)),"")</f>
        <v/>
      </c>
      <c r="S8" s="374"/>
    </row>
    <row r="9" spans="1:19" ht="30.75" customHeight="1">
      <c r="A9" s="455" t="s">
        <v>217</v>
      </c>
      <c r="B9" s="456"/>
      <c r="C9" s="457"/>
      <c r="D9" s="352" t="str">
        <f>IF(宿泊者名簿!D11="","",宿泊者名簿!D11)</f>
        <v/>
      </c>
      <c r="E9" s="353"/>
      <c r="F9" s="353"/>
      <c r="G9" s="354"/>
      <c r="H9" s="123" t="s">
        <v>226</v>
      </c>
      <c r="I9" s="355" t="str">
        <f>IF(宿泊者名簿!I11="","",宿泊者名簿!I11)</f>
        <v/>
      </c>
      <c r="J9" s="356"/>
      <c r="K9" s="356"/>
      <c r="L9" s="356"/>
      <c r="M9" s="356"/>
      <c r="N9" s="356"/>
      <c r="O9" s="356"/>
      <c r="P9" s="356"/>
      <c r="Q9" s="356"/>
      <c r="R9" s="356"/>
      <c r="S9" s="357"/>
    </row>
    <row r="10" spans="1:19" ht="30.75" customHeight="1" thickBot="1">
      <c r="A10" s="418" t="s">
        <v>218</v>
      </c>
      <c r="B10" s="419"/>
      <c r="C10" s="420"/>
      <c r="D10" s="358" t="str">
        <f>IF(宿泊者名簿!D12="","",宿泊者名簿!D12)</f>
        <v/>
      </c>
      <c r="E10" s="359"/>
      <c r="F10" s="359"/>
      <c r="G10" s="359"/>
      <c r="H10" s="451" t="s">
        <v>276</v>
      </c>
      <c r="I10" s="452"/>
      <c r="J10" s="358" t="str">
        <f>IF(宿泊者名簿!J12="","",宿泊者名簿!J12)</f>
        <v/>
      </c>
      <c r="K10" s="453"/>
      <c r="L10" s="358" t="str">
        <f>IF(宿泊者名簿!L12="","",宿泊者名簿!L12)</f>
        <v/>
      </c>
      <c r="M10" s="453"/>
      <c r="N10" s="358" t="str">
        <f>IF(宿泊者名簿!N12="","",宿泊者名簿!N12)</f>
        <v/>
      </c>
      <c r="O10" s="453"/>
      <c r="P10" s="358" t="str">
        <f>IF(宿泊者名簿!P12="","",宿泊者名簿!P12)</f>
        <v/>
      </c>
      <c r="Q10" s="453"/>
      <c r="R10" s="358" t="str">
        <f>IF(宿泊者名簿!R12="","",宿泊者名簿!R12)</f>
        <v/>
      </c>
      <c r="S10" s="454"/>
    </row>
    <row r="11" spans="1:19" ht="14.25" thickBot="1">
      <c r="A11" s="5"/>
      <c r="B11" s="5"/>
      <c r="C11" s="5"/>
      <c r="D11" s="5"/>
      <c r="E11" s="5"/>
      <c r="F11" s="5"/>
      <c r="G11" s="5"/>
      <c r="H11" s="5"/>
      <c r="I11" s="5"/>
      <c r="J11" s="5"/>
      <c r="K11" s="5"/>
      <c r="L11" s="5"/>
      <c r="M11" s="5"/>
      <c r="N11" s="5"/>
      <c r="O11" s="5"/>
      <c r="P11" s="5"/>
      <c r="Q11" s="5"/>
      <c r="R11" s="5"/>
      <c r="S11" s="114"/>
    </row>
    <row r="12" spans="1:19" ht="28.5">
      <c r="A12" s="481" t="s">
        <v>384</v>
      </c>
      <c r="B12" s="370"/>
      <c r="C12" s="370"/>
      <c r="D12" s="1142" t="s">
        <v>43</v>
      </c>
      <c r="E12" s="1143" t="s">
        <v>45</v>
      </c>
      <c r="F12" s="1143">
        <f>COUNTIFS(宿泊者名簿!$AA$22:$AA$421,1,宿泊者名簿!$E$22:$E$421,"男",宿泊者名簿!$J$22:$J$421,1,宿泊者名簿!$M$22:$M$421,FALSE)</f>
        <v>0</v>
      </c>
      <c r="G12" s="1144" t="s">
        <v>47</v>
      </c>
      <c r="H12" s="1142" t="s">
        <v>131</v>
      </c>
      <c r="I12" s="1143" t="s">
        <v>45</v>
      </c>
      <c r="J12" s="1143">
        <f>COUNTIFS(宿泊者名簿!$AA$22:$AA$421,1,宿泊者名簿!$E$22:$E$421,"男",宿泊者名簿!$J$22:$J$421,2,宿泊者名簿!$M$22:$M$421,FALSE)</f>
        <v>0</v>
      </c>
      <c r="K12" s="1144" t="s">
        <v>47</v>
      </c>
      <c r="L12" s="1142" t="s">
        <v>132</v>
      </c>
      <c r="M12" s="1143" t="s">
        <v>45</v>
      </c>
      <c r="N12" s="1143">
        <f>COUNTIFS(宿泊者名簿!$AA$22:$AA$421,1,宿泊者名簿!$E$22:$E$421,"男",宿泊者名簿!$J$22:$J$421,3,宿泊者名簿!$M$22:$M$421,FALSE)</f>
        <v>0</v>
      </c>
      <c r="O12" s="1144" t="s">
        <v>47</v>
      </c>
      <c r="P12" s="1142" t="s">
        <v>44</v>
      </c>
      <c r="Q12" s="1143" t="s">
        <v>45</v>
      </c>
      <c r="R12" s="1143">
        <f>COUNTIFS(宿泊者名簿!$AA$22:$AA$421,1,宿泊者名簿!$E$22:$E$421,"男",宿泊者名簿!$J$22:$J$421,4,宿泊者名簿!$M$22:$M$421,FALSE)</f>
        <v>0</v>
      </c>
      <c r="S12" s="1144" t="s">
        <v>47</v>
      </c>
    </row>
    <row r="13" spans="1:19" ht="28.5">
      <c r="A13" s="482"/>
      <c r="B13" s="469"/>
      <c r="C13" s="469"/>
      <c r="D13" s="1141">
        <f>SUM(F12:F13)</f>
        <v>0</v>
      </c>
      <c r="E13" s="1145" t="s">
        <v>46</v>
      </c>
      <c r="F13" s="1145">
        <f>COUNTIFS(宿泊者名簿!$AA$22:$AA$421,1,宿泊者名簿!$E$22:$E$421,"女",宿泊者名簿!$J$22:$J$421,1,宿泊者名簿!$M$22:$M$421,FALSE)</f>
        <v>0</v>
      </c>
      <c r="G13" s="1146" t="s">
        <v>47</v>
      </c>
      <c r="H13" s="1141">
        <f>SUM(J12:J13)</f>
        <v>0</v>
      </c>
      <c r="I13" s="1145" t="s">
        <v>46</v>
      </c>
      <c r="J13" s="1145">
        <f>COUNTIFS(宿泊者名簿!$AA$22:$AA$421,1,宿泊者名簿!$E$22:$E$421,"女",宿泊者名簿!$J$22:$J$421,2,宿泊者名簿!$M$22:$M$421,FALSE)</f>
        <v>0</v>
      </c>
      <c r="K13" s="1146" t="s">
        <v>47</v>
      </c>
      <c r="L13" s="1141">
        <f>SUM(N12:N13)</f>
        <v>0</v>
      </c>
      <c r="M13" s="1145" t="s">
        <v>46</v>
      </c>
      <c r="N13" s="1145">
        <f>COUNTIFS(宿泊者名簿!$AA$22:$AA$421,1,宿泊者名簿!$E$22:$E$421,"女",宿泊者名簿!$J$22:$J$421,3,宿泊者名簿!$M$22:$M$421,FALSE)</f>
        <v>0</v>
      </c>
      <c r="O13" s="1146" t="s">
        <v>47</v>
      </c>
      <c r="P13" s="1141">
        <f>SUM(R12:R13)</f>
        <v>0</v>
      </c>
      <c r="Q13" s="1145" t="s">
        <v>46</v>
      </c>
      <c r="R13" s="1145">
        <f>COUNTIFS(宿泊者名簿!$AA$22:$AA$421,1,宿泊者名簿!$E$22:$E$421,"女",宿泊者名簿!$J$22:$J$421,4,宿泊者名簿!$M$22:$M$421,FALSE)</f>
        <v>0</v>
      </c>
      <c r="S13" s="1146" t="s">
        <v>47</v>
      </c>
    </row>
    <row r="14" spans="1:19" ht="28.5">
      <c r="A14" s="482"/>
      <c r="B14" s="469"/>
      <c r="C14" s="469"/>
      <c r="D14" s="1147" t="s">
        <v>382</v>
      </c>
      <c r="E14" s="1145" t="s">
        <v>45</v>
      </c>
      <c r="F14" s="1145">
        <f>COUNTIFS(宿泊者名簿!$AA$22:$AA$421,1,宿泊者名簿!$E$22:$E$421,"男",宿泊者名簿!$J$22:$J$421,1,宿泊者名簿!$M$22:$M$421,TRUE)</f>
        <v>0</v>
      </c>
      <c r="G14" s="1146" t="s">
        <v>47</v>
      </c>
      <c r="H14" s="1147" t="s">
        <v>382</v>
      </c>
      <c r="I14" s="1145" t="s">
        <v>45</v>
      </c>
      <c r="J14" s="1145">
        <f>COUNTIFS(宿泊者名簿!$AA$22:$AA$421,1,宿泊者名簿!$E$22:$E$421,"男",宿泊者名簿!$J$22:$J$421,2,宿泊者名簿!$M$22:$M$421,TRUE)</f>
        <v>0</v>
      </c>
      <c r="K14" s="1146" t="s">
        <v>47</v>
      </c>
      <c r="L14" s="1147" t="s">
        <v>382</v>
      </c>
      <c r="M14" s="1145" t="s">
        <v>45</v>
      </c>
      <c r="N14" s="1145">
        <f>COUNTIFS(宿泊者名簿!$AA$22:$AA$421,1,宿泊者名簿!$E$22:$E$421,"男",宿泊者名簿!$J$22:$J$421,3,宿泊者名簿!$M$22:$M$421,TRUE)</f>
        <v>0</v>
      </c>
      <c r="O14" s="1146" t="s">
        <v>47</v>
      </c>
      <c r="P14" s="1147" t="s">
        <v>382</v>
      </c>
      <c r="Q14" s="1145" t="s">
        <v>45</v>
      </c>
      <c r="R14" s="1145">
        <f>COUNTIFS(宿泊者名簿!$AA$22:$AA$421,1,宿泊者名簿!$E$22:$E$421,"男",宿泊者名簿!$J$22:$J$421,4,宿泊者名簿!$M$22:$M$421,TRUE)</f>
        <v>0</v>
      </c>
      <c r="S14" s="1146" t="s">
        <v>47</v>
      </c>
    </row>
    <row r="15" spans="1:19" ht="27.75" customHeight="1" thickBot="1">
      <c r="A15" s="372"/>
      <c r="B15" s="373"/>
      <c r="C15" s="373"/>
      <c r="D15" s="1141">
        <f>SUM(F14:F15)</f>
        <v>0</v>
      </c>
      <c r="E15" s="1148" t="s">
        <v>46</v>
      </c>
      <c r="F15" s="1148">
        <f>COUNTIFS(宿泊者名簿!$AA$22:$AA$421,1,宿泊者名簿!$E$22:$E$421,"女",宿泊者名簿!$J$22:$J$421,1,宿泊者名簿!$M$22:$M$421,TRUE)</f>
        <v>0</v>
      </c>
      <c r="G15" s="1149" t="s">
        <v>47</v>
      </c>
      <c r="H15" s="1141">
        <f>SUM(J14:J15)</f>
        <v>0</v>
      </c>
      <c r="I15" s="1148" t="s">
        <v>46</v>
      </c>
      <c r="J15" s="1148">
        <f>COUNTIFS(宿泊者名簿!$AA$22:$AA$421,1,宿泊者名簿!$E$22:$E$421,"女",宿泊者名簿!$J$22:$J$421,2,宿泊者名簿!$M$22:$M$421,TRUE)</f>
        <v>0</v>
      </c>
      <c r="K15" s="1149" t="s">
        <v>47</v>
      </c>
      <c r="L15" s="1141">
        <f>SUM(N14:N15)</f>
        <v>0</v>
      </c>
      <c r="M15" s="1148" t="s">
        <v>46</v>
      </c>
      <c r="N15" s="1148">
        <f>COUNTIFS(宿泊者名簿!$AA$22:$AA$421,1,宿泊者名簿!$E$22:$E$421,"女",宿泊者名簿!$J$22:$J$421,3,宿泊者名簿!$M$22:$M$421,TRUE)</f>
        <v>0</v>
      </c>
      <c r="O15" s="1149" t="s">
        <v>47</v>
      </c>
      <c r="P15" s="1141">
        <f>SUM(R14:R15)</f>
        <v>0</v>
      </c>
      <c r="Q15" s="1148" t="s">
        <v>46</v>
      </c>
      <c r="R15" s="1148">
        <f>COUNTIFS(宿泊者名簿!$AA$22:$AA$421,1,宿泊者名簿!$E$22:$E$421,"女",宿泊者名簿!$J$22:$J$421,4,宿泊者名簿!$M$22:$M$421,TRUE)</f>
        <v>0</v>
      </c>
      <c r="S15" s="1149" t="s">
        <v>47</v>
      </c>
    </row>
    <row r="16" spans="1:19" ht="28.5">
      <c r="A16" s="467" t="s">
        <v>135</v>
      </c>
      <c r="B16" s="469">
        <f>SUM(F12:F19,J12:J19,N12:N19,R12:R15)</f>
        <v>0</v>
      </c>
      <c r="C16" s="469" t="s">
        <v>47</v>
      </c>
      <c r="D16" s="1142" t="s">
        <v>134</v>
      </c>
      <c r="E16" s="1143" t="s">
        <v>45</v>
      </c>
      <c r="F16" s="1143">
        <f>COUNTIFS(宿泊者名簿!$AA$22:$AA$421,1,宿泊者名簿!$E$22:$E$421,"男",宿泊者名簿!$J$22:$J$421,5,宿泊者名簿!$M$22:$M$421,FALSE)</f>
        <v>0</v>
      </c>
      <c r="G16" s="1144" t="s">
        <v>47</v>
      </c>
      <c r="H16" s="1142" t="s">
        <v>282</v>
      </c>
      <c r="I16" s="1143" t="s">
        <v>45</v>
      </c>
      <c r="J16" s="1143">
        <f>COUNTIFS(宿泊者名簿!$AA$22:$AA$421,1,宿泊者名簿!$E$22:$E$421,"男",宿泊者名簿!$J$22:$J$421,6,宿泊者名簿!$M$22:$M$421,FALSE,宿泊者名簿!$R$22:$R$421,FALSE)+COUNTIFS(宿泊者名簿!$AA$22:$AA$421,1,宿泊者名簿!$E$22:$E$421,"男",宿泊者名簿!$J$22:$J$421,7,宿泊者名簿!$M$22:$M$421,FALSE,宿泊者名簿!$R$22:$R$421,FALSE)</f>
        <v>0</v>
      </c>
      <c r="K16" s="1144" t="s">
        <v>47</v>
      </c>
      <c r="L16" s="1142" t="s">
        <v>383</v>
      </c>
      <c r="M16" s="1143" t="s">
        <v>45</v>
      </c>
      <c r="N16" s="1143">
        <f>COUNTIFS(宿泊者名簿!$AA$22:$AA$421,1,宿泊者名簿!$E$22:$E$421,"男",宿泊者名簿!$J$22:$J$421,6,宿泊者名簿!$M$22:$M$421,FALSE,宿泊者名簿!$R$22:$R$421,TRUE)+COUNTIFS(宿泊者名簿!$AA$22:$AA$421,1,宿泊者名簿!$E$22:$E$421,"男",宿泊者名簿!$J$22:$J$421,7,宿泊者名簿!$M$22:$M$421,FALSE,宿泊者名簿!$R$22:$R$421,TRUE)</f>
        <v>0</v>
      </c>
      <c r="O16" s="1144" t="s">
        <v>47</v>
      </c>
      <c r="P16" s="1142" t="s">
        <v>287</v>
      </c>
      <c r="Q16" s="1143" t="s">
        <v>136</v>
      </c>
      <c r="R16" s="1143">
        <f>SUM(F12,J12,N12,R12,F16,J16,N16)</f>
        <v>0</v>
      </c>
      <c r="S16" s="1144" t="s">
        <v>47</v>
      </c>
    </row>
    <row r="17" spans="1:19" ht="28.5">
      <c r="A17" s="467"/>
      <c r="B17" s="469"/>
      <c r="C17" s="469"/>
      <c r="D17" s="1141">
        <f>SUM(F16:F17)</f>
        <v>0</v>
      </c>
      <c r="E17" s="1145" t="s">
        <v>46</v>
      </c>
      <c r="F17" s="1145">
        <f>COUNTIFS(宿泊者名簿!$AA$22:$AA$421,1,宿泊者名簿!$E$22:$E$421,"女",宿泊者名簿!$J$22:$J$421,5,宿泊者名簿!$M$22:$M$421,FALSE)</f>
        <v>0</v>
      </c>
      <c r="G17" s="1146" t="s">
        <v>47</v>
      </c>
      <c r="H17" s="1141">
        <f>SUM(J16:J17)</f>
        <v>0</v>
      </c>
      <c r="I17" s="1145" t="s">
        <v>46</v>
      </c>
      <c r="J17" s="1145">
        <f>COUNTIFS(宿泊者名簿!$AA$22:$AA$421,1,宿泊者名簿!$E$22:$E$421,"女",宿泊者名簿!$J$22:$J$421,6,宿泊者名簿!$M$22:$M$421,FALSE,宿泊者名簿!$R$22:$R$421,FALSE)+COUNTIFS(宿泊者名簿!$AA$22:$AA$421,1,宿泊者名簿!$E$22:$E$421,"女",宿泊者名簿!$J$22:$J$421,7,宿泊者名簿!$M$22:$M$421,FALSE,宿泊者名簿!$R$22:$R$421,FALSE)</f>
        <v>0</v>
      </c>
      <c r="K17" s="1146" t="s">
        <v>47</v>
      </c>
      <c r="L17" s="1141">
        <f>SUM(N16:N17)</f>
        <v>0</v>
      </c>
      <c r="M17" s="1145" t="s">
        <v>46</v>
      </c>
      <c r="N17" s="1145">
        <f>COUNTIFS(宿泊者名簿!$AA$22:$AA$421,1,宿泊者名簿!$E$22:$E$421,"女",宿泊者名簿!$J$22:$J$421,6,宿泊者名簿!$M$22:$M$421,FALSE,宿泊者名簿!$R$22:$R$421,TRUE)+COUNTIFS(宿泊者名簿!$AA$22:$AA$421,1,宿泊者名簿!$E$22:$E$421,"女",宿泊者名簿!$J$22:$J$421,7,宿泊者名簿!$M$22:$M$421,FALSE,宿泊者名簿!$R$22:$R$421,TRUE)</f>
        <v>0</v>
      </c>
      <c r="O17" s="1146" t="s">
        <v>47</v>
      </c>
      <c r="P17" s="1141">
        <f>SUM(R16:R17)</f>
        <v>0</v>
      </c>
      <c r="Q17" s="1145" t="s">
        <v>46</v>
      </c>
      <c r="R17" s="1145">
        <f t="shared" ref="R17:R19" si="0">SUM(F13,J13,N13,R13,F17,J17,N17)</f>
        <v>0</v>
      </c>
      <c r="S17" s="1146" t="s">
        <v>47</v>
      </c>
    </row>
    <row r="18" spans="1:19" ht="28.5">
      <c r="A18" s="467"/>
      <c r="B18" s="469"/>
      <c r="C18" s="469"/>
      <c r="D18" s="1147" t="s">
        <v>382</v>
      </c>
      <c r="E18" s="1145" t="s">
        <v>45</v>
      </c>
      <c r="F18" s="1145">
        <f>COUNTIFS(宿泊者名簿!$AA$22:$AA$421,1,宿泊者名簿!$E$22:$E$421,"男",宿泊者名簿!$J$22:$J$421,5,宿泊者名簿!$M$22:$M$421,TRUE)</f>
        <v>0</v>
      </c>
      <c r="G18" s="1146" t="s">
        <v>47</v>
      </c>
      <c r="H18" s="1147" t="s">
        <v>382</v>
      </c>
      <c r="I18" s="1145" t="s">
        <v>45</v>
      </c>
      <c r="J18" s="1145">
        <f>COUNTIFS(宿泊者名簿!$AA$22:$AA$421,1,宿泊者名簿!$E$22:$E$421,"男",宿泊者名簿!$J$22:$J$421,6,宿泊者名簿!$M$22:$M$421,TRUE,宿泊者名簿!$R$22:$R$421,FALSE)+COUNTIFS(宿泊者名簿!$AA$22:$AA$421,1,宿泊者名簿!$E$22:$E$421,"男",宿泊者名簿!$J$22:$J$421,7,宿泊者名簿!$M$22:$M$421,TRUE,宿泊者名簿!$R$22:$R$421,FALSE)</f>
        <v>0</v>
      </c>
      <c r="K18" s="1146" t="s">
        <v>47</v>
      </c>
      <c r="L18" s="1147" t="s">
        <v>382</v>
      </c>
      <c r="M18" s="1145" t="s">
        <v>45</v>
      </c>
      <c r="N18" s="1145">
        <f>COUNTIFS(宿泊者名簿!$AA$22:$AA$421,1,宿泊者名簿!$E$22:$E$421,"男",宿泊者名簿!$J$22:$J$421,6,宿泊者名簿!$M$22:$M$421,TRUE,宿泊者名簿!$R$22:$R$421,TRUE)+COUNTIFS(宿泊者名簿!$AA$22:$AA$421,1,宿泊者名簿!$E$22:$E$421,"男",宿泊者名簿!$J$22:$J$421,7,宿泊者名簿!$M$22:$M$421,TRUE,宿泊者名簿!$R$22:$R$421,TRUE)</f>
        <v>0</v>
      </c>
      <c r="O18" s="1146" t="s">
        <v>47</v>
      </c>
      <c r="P18" s="1147" t="s">
        <v>382</v>
      </c>
      <c r="Q18" s="1145" t="s">
        <v>45</v>
      </c>
      <c r="R18" s="1145">
        <f t="shared" si="0"/>
        <v>0</v>
      </c>
      <c r="S18" s="1146" t="s">
        <v>47</v>
      </c>
    </row>
    <row r="19" spans="1:19" ht="27.75" customHeight="1" thickBot="1">
      <c r="A19" s="468"/>
      <c r="B19" s="373"/>
      <c r="C19" s="373"/>
      <c r="D19" s="1150">
        <f>SUM(F18:F19)</f>
        <v>0</v>
      </c>
      <c r="E19" s="1148" t="s">
        <v>46</v>
      </c>
      <c r="F19" s="1148">
        <f>COUNTIFS(宿泊者名簿!$AA$22:$AA$421,1,宿泊者名簿!$E$22:$E$421,"女",宿泊者名簿!$J$22:$J$421,5,宿泊者名簿!$M$22:$M$421,TRUE)</f>
        <v>0</v>
      </c>
      <c r="G19" s="1149" t="s">
        <v>47</v>
      </c>
      <c r="H19" s="1150">
        <f>SUM(J18:J19)</f>
        <v>0</v>
      </c>
      <c r="I19" s="1148" t="s">
        <v>46</v>
      </c>
      <c r="J19" s="1148">
        <f>COUNTIFS(宿泊者名簿!$AA$22:$AA$421,1,宿泊者名簿!$E$22:$E$421,"女",宿泊者名簿!$J$22:$J$421,6,宿泊者名簿!$M$22:$M$421,TRUE,宿泊者名簿!$R$22:$R$421,FALSE)+COUNTIFS(宿泊者名簿!$AA$22:$AA$421,1,宿泊者名簿!$E$22:$E$421,"女",宿泊者名簿!$J$22:$J$421,7,宿泊者名簿!$M$22:$M$421,TRUE,宿泊者名簿!$R$22:$R$421,FALSE)</f>
        <v>0</v>
      </c>
      <c r="K19" s="1149" t="s">
        <v>47</v>
      </c>
      <c r="L19" s="1150">
        <f>SUM(N18:N19)</f>
        <v>0</v>
      </c>
      <c r="M19" s="1148" t="s">
        <v>46</v>
      </c>
      <c r="N19" s="1148">
        <f>COUNTIFS(宿泊者名簿!$AA$22:$AA$421,1,宿泊者名簿!$E$22:$E$421,"女",宿泊者名簿!$J$22:$J$421,6,宿泊者名簿!$M$22:$M$421,TRUE,宿泊者名簿!$R$22:$R$421,TRUE)+COUNTIFS(宿泊者名簿!$AA$22:$AA$421,1,宿泊者名簿!$E$22:$E$421,"女",宿泊者名簿!$J$22:$J$421,7,宿泊者名簿!$M$22:$M$421,TRUE,宿泊者名簿!$R$22:$R$421,TRUE)</f>
        <v>0</v>
      </c>
      <c r="O19" s="1149" t="s">
        <v>47</v>
      </c>
      <c r="P19" s="1150">
        <f>SUM(R18:R19)</f>
        <v>0</v>
      </c>
      <c r="Q19" s="1148" t="s">
        <v>46</v>
      </c>
      <c r="R19" s="1148">
        <f t="shared" si="0"/>
        <v>0</v>
      </c>
      <c r="S19" s="1149" t="s">
        <v>47</v>
      </c>
    </row>
    <row r="20" spans="1:19" ht="21.75" thickBot="1">
      <c r="D20" s="1151"/>
      <c r="E20" s="1152"/>
      <c r="F20" s="1152"/>
      <c r="G20" s="1152"/>
      <c r="H20" s="1151"/>
      <c r="I20" s="1152"/>
      <c r="J20" s="1152"/>
      <c r="K20" s="1152"/>
      <c r="L20" s="1151"/>
      <c r="M20" s="1152"/>
      <c r="N20" s="1152"/>
      <c r="O20" s="1152"/>
      <c r="P20" s="1151"/>
      <c r="Q20" s="1152"/>
      <c r="R20" s="1152"/>
      <c r="S20" s="1152"/>
    </row>
    <row r="21" spans="1:19" ht="28.5">
      <c r="A21" s="481" t="s">
        <v>385</v>
      </c>
      <c r="B21" s="370"/>
      <c r="C21" s="371"/>
      <c r="D21" s="1142" t="s">
        <v>43</v>
      </c>
      <c r="E21" s="1143" t="s">
        <v>45</v>
      </c>
      <c r="F21" s="1143">
        <f>COUNTIFS(宿泊者名簿!$Z$22:$Z$421,1,宿泊者名簿!$E$22:$E$421,"男",宿泊者名簿!$Y$22:$Y$421,1,宿泊者名簿!$M$22:$M$421,FALSE)</f>
        <v>0</v>
      </c>
      <c r="G21" s="1144" t="s">
        <v>47</v>
      </c>
      <c r="H21" s="1153" t="s">
        <v>131</v>
      </c>
      <c r="I21" s="1143" t="s">
        <v>45</v>
      </c>
      <c r="J21" s="1143">
        <f>COUNTIFS(宿泊者名簿!$Z$22:$Z$421,1,宿泊者名簿!$E$22:$E$421,"男",宿泊者名簿!$Y$22:$Y$421,2,宿泊者名簿!$M$22:$M$421,FALSE)</f>
        <v>0</v>
      </c>
      <c r="K21" s="1144" t="s">
        <v>47</v>
      </c>
      <c r="L21" s="1153" t="s">
        <v>132</v>
      </c>
      <c r="M21" s="1143" t="s">
        <v>45</v>
      </c>
      <c r="N21" s="1143">
        <f>COUNTIFS(宿泊者名簿!$Z$22:$Z$421,1,宿泊者名簿!$E$22:$E$421,"男",宿泊者名簿!$Y$22:$Y$421,3,宿泊者名簿!$M$22:$M$421,FALSE)</f>
        <v>0</v>
      </c>
      <c r="O21" s="1144" t="s">
        <v>47</v>
      </c>
      <c r="P21" s="1153" t="s">
        <v>44</v>
      </c>
      <c r="Q21" s="1143" t="s">
        <v>45</v>
      </c>
      <c r="R21" s="1143">
        <f>COUNTIFS(宿泊者名簿!$Z$22:$Z$421,1,宿泊者名簿!$E$22:$E$421,"男",宿泊者名簿!$Y$22:$Y$421,4,宿泊者名簿!$M$22:$M$421,FALSE)</f>
        <v>0</v>
      </c>
      <c r="S21" s="1144" t="s">
        <v>47</v>
      </c>
    </row>
    <row r="22" spans="1:19" ht="28.5">
      <c r="A22" s="482"/>
      <c r="B22" s="469"/>
      <c r="C22" s="375"/>
      <c r="D22" s="1141">
        <f>SUM(F21:F22)</f>
        <v>0</v>
      </c>
      <c r="E22" s="1145" t="s">
        <v>46</v>
      </c>
      <c r="F22" s="1145">
        <f>COUNTIFS(宿泊者名簿!$Z$22:$Z$421,1,宿泊者名簿!$E$22:$E$421,"女",宿泊者名簿!$Y$22:$Y$421,1,宿泊者名簿!$M$22:$M$421,FALSE)</f>
        <v>0</v>
      </c>
      <c r="G22" s="1146" t="s">
        <v>47</v>
      </c>
      <c r="H22" s="1141">
        <f>SUM(J21:J22)</f>
        <v>0</v>
      </c>
      <c r="I22" s="1145" t="s">
        <v>46</v>
      </c>
      <c r="J22" s="1145">
        <f>COUNTIFS(宿泊者名簿!$Z$22:$Z$421,1,宿泊者名簿!$E$22:$E$421,"女",宿泊者名簿!$Y$22:$Y$421,2,宿泊者名簿!$M$22:$M$421,FALSE)</f>
        <v>0</v>
      </c>
      <c r="K22" s="1146" t="s">
        <v>47</v>
      </c>
      <c r="L22" s="1141">
        <f>SUM(N21:N22)</f>
        <v>0</v>
      </c>
      <c r="M22" s="1145" t="s">
        <v>46</v>
      </c>
      <c r="N22" s="1145">
        <f>COUNTIFS(宿泊者名簿!$Z$22:$Z$421,1,宿泊者名簿!$E$22:$E$421,"女",宿泊者名簿!$Y$22:$Y$421,3,宿泊者名簿!$M$22:$M$421,FALSE)</f>
        <v>0</v>
      </c>
      <c r="O22" s="1146" t="s">
        <v>47</v>
      </c>
      <c r="P22" s="1141">
        <f>SUM(R21:R22)</f>
        <v>0</v>
      </c>
      <c r="Q22" s="1145" t="s">
        <v>46</v>
      </c>
      <c r="R22" s="1145">
        <f>COUNTIFS(宿泊者名簿!$Z$22:$Z$421,1,宿泊者名簿!$E$22:$E$421,"女",宿泊者名簿!$Y$22:$Y$421,4,宿泊者名簿!$M$22:$M$421,FALSE)</f>
        <v>0</v>
      </c>
      <c r="S22" s="1146" t="s">
        <v>47</v>
      </c>
    </row>
    <row r="23" spans="1:19" ht="28.5">
      <c r="A23" s="482"/>
      <c r="B23" s="469"/>
      <c r="C23" s="375"/>
      <c r="D23" s="1147" t="s">
        <v>382</v>
      </c>
      <c r="E23" s="1145" t="s">
        <v>45</v>
      </c>
      <c r="F23" s="1145">
        <f>COUNTIFS(宿泊者名簿!$Z$22:$Z$421,1,宿泊者名簿!$E$22:$E$421,"男",宿泊者名簿!$Y$22:$Y$421,1,宿泊者名簿!$M$22:$M$421,TRUE)</f>
        <v>0</v>
      </c>
      <c r="G23" s="1146" t="s">
        <v>47</v>
      </c>
      <c r="H23" s="1154" t="s">
        <v>382</v>
      </c>
      <c r="I23" s="1145" t="s">
        <v>45</v>
      </c>
      <c r="J23" s="1145">
        <f>COUNTIFS(宿泊者名簿!$Z$22:$Z$421,1,宿泊者名簿!$E$22:$E$421,"男",宿泊者名簿!$Y$22:$Y$421,2,宿泊者名簿!$M$22:$M$421,TRUE)</f>
        <v>0</v>
      </c>
      <c r="K23" s="1146" t="s">
        <v>47</v>
      </c>
      <c r="L23" s="1154" t="s">
        <v>382</v>
      </c>
      <c r="M23" s="1145" t="s">
        <v>45</v>
      </c>
      <c r="N23" s="1145">
        <f>COUNTIFS(宿泊者名簿!$Z$22:$Z$421,1,宿泊者名簿!$E$22:$E$421,"男",宿泊者名簿!$Y$22:$Y$421,3,宿泊者名簿!$M$22:$M$421,TRUE)</f>
        <v>0</v>
      </c>
      <c r="O23" s="1146" t="s">
        <v>47</v>
      </c>
      <c r="P23" s="1154" t="s">
        <v>382</v>
      </c>
      <c r="Q23" s="1145" t="s">
        <v>45</v>
      </c>
      <c r="R23" s="1145">
        <f>COUNTIFS(宿泊者名簿!$Z$22:$Z$421,1,宿泊者名簿!$E$22:$E$421,"男",宿泊者名簿!$Y$22:$Y$421,4,宿泊者名簿!$M$22:$M$421,TRUE)</f>
        <v>0</v>
      </c>
      <c r="S23" s="1146" t="s">
        <v>47</v>
      </c>
    </row>
    <row r="24" spans="1:19" ht="29.25" thickBot="1">
      <c r="A24" s="372"/>
      <c r="B24" s="373"/>
      <c r="C24" s="374"/>
      <c r="D24" s="1141">
        <f>SUM(F23:F24)</f>
        <v>0</v>
      </c>
      <c r="E24" s="1148" t="s">
        <v>46</v>
      </c>
      <c r="F24" s="1148">
        <f>COUNTIFS(宿泊者名簿!$Z$22:$Z$421,1,宿泊者名簿!$E$22:$E$421,"女",宿泊者名簿!$Y$22:$Y$421,1,宿泊者名簿!$M$22:$M$421,TRUE)</f>
        <v>0</v>
      </c>
      <c r="G24" s="1149" t="s">
        <v>47</v>
      </c>
      <c r="H24" s="1141">
        <f>SUM(J23:J24)</f>
        <v>0</v>
      </c>
      <c r="I24" s="1148" t="s">
        <v>46</v>
      </c>
      <c r="J24" s="1148">
        <f>COUNTIFS(宿泊者名簿!$Z$22:$Z$421,1,宿泊者名簿!$E$22:$E$421,"女",宿泊者名簿!$Y$22:$Y$421,2,宿泊者名簿!$M$22:$M$421,TRUE)</f>
        <v>0</v>
      </c>
      <c r="K24" s="1149" t="s">
        <v>47</v>
      </c>
      <c r="L24" s="1141">
        <f>SUM(N23:N24)</f>
        <v>0</v>
      </c>
      <c r="M24" s="1148" t="s">
        <v>46</v>
      </c>
      <c r="N24" s="1148">
        <f>COUNTIFS(宿泊者名簿!$Z$22:$Z$421,1,宿泊者名簿!$E$22:$E$421,"女",宿泊者名簿!$Y$22:$Y$421,3,宿泊者名簿!$M$22:$M$421,TRUE)</f>
        <v>0</v>
      </c>
      <c r="O24" s="1149" t="s">
        <v>47</v>
      </c>
      <c r="P24" s="1141">
        <f>SUM(R23:R24)</f>
        <v>0</v>
      </c>
      <c r="Q24" s="1148" t="s">
        <v>46</v>
      </c>
      <c r="R24" s="1148">
        <f>COUNTIFS(宿泊者名簿!$Z$22:$Z$421,1,宿泊者名簿!$E$22:$E$421,"女",宿泊者名簿!$Y$22:$Y$421,4,宿泊者名簿!$M$22:$M$421,TRUE)</f>
        <v>0</v>
      </c>
      <c r="S24" s="1149" t="s">
        <v>47</v>
      </c>
    </row>
    <row r="25" spans="1:19" ht="28.5">
      <c r="A25" s="467" t="s">
        <v>135</v>
      </c>
      <c r="B25" s="469">
        <f>SUM(F21:F28,J21:J28,N21:N28,R21:R24)</f>
        <v>0</v>
      </c>
      <c r="C25" s="375" t="s">
        <v>47</v>
      </c>
      <c r="D25" s="1142" t="s">
        <v>134</v>
      </c>
      <c r="E25" s="1143" t="s">
        <v>45</v>
      </c>
      <c r="F25" s="1143">
        <f>COUNTIFS(宿泊者名簿!$Z$22:$Z$421,1,宿泊者名簿!$E$22:$E$421,"男",宿泊者名簿!$Y$22:$Y$421,5,宿泊者名簿!$M$22:$M$421,FALSE)</f>
        <v>0</v>
      </c>
      <c r="G25" s="1144" t="s">
        <v>47</v>
      </c>
      <c r="H25" s="1153" t="s">
        <v>282</v>
      </c>
      <c r="I25" s="1143" t="s">
        <v>45</v>
      </c>
      <c r="J25" s="1143">
        <f>COUNTIFS(宿泊者名簿!$Z$22:$Z$421,1,宿泊者名簿!$E$22:$E$421,"男",宿泊者名簿!$Y$22:$Y$421,6,宿泊者名簿!$M$22:$M$421,FALSE,宿泊者名簿!$R$22:$R$421,FALSE)+COUNTIFS(宿泊者名簿!$Z$22:$Z$421,1,宿泊者名簿!$E$22:$E$421,"男",宿泊者名簿!$Y$22:$Y$421,7,宿泊者名簿!$M$22:$M$421,FALSE,宿泊者名簿!$R$22:$R$421,FALSE)</f>
        <v>0</v>
      </c>
      <c r="K25" s="1144" t="s">
        <v>47</v>
      </c>
      <c r="L25" s="1153" t="s">
        <v>383</v>
      </c>
      <c r="M25" s="1143" t="s">
        <v>45</v>
      </c>
      <c r="N25" s="1143">
        <f>COUNTIFS(宿泊者名簿!$Z$22:$Z$421,1,宿泊者名簿!$E$22:$E$421,"男",宿泊者名簿!$Y$22:$Y$421,6,宿泊者名簿!$M$22:$M$421,FALSE,宿泊者名簿!$R$22:$R$421,TRUE)+COUNTIFS(宿泊者名簿!$Z$22:$Z$421,1,宿泊者名簿!$E$22:$E$421,"男",宿泊者名簿!$Y$22:$Y$421,7,宿泊者名簿!$M$22:$M$421,FALSE,宿泊者名簿!$R$22:$R$421,TRUE)</f>
        <v>0</v>
      </c>
      <c r="O25" s="1144" t="s">
        <v>47</v>
      </c>
      <c r="P25" s="1153" t="s">
        <v>287</v>
      </c>
      <c r="Q25" s="1143" t="s">
        <v>136</v>
      </c>
      <c r="R25" s="1143">
        <f t="shared" ref="R25:R28" si="1">SUM(F21,J21,N21,R21,F25,J25,N25)</f>
        <v>0</v>
      </c>
      <c r="S25" s="1144" t="s">
        <v>47</v>
      </c>
    </row>
    <row r="26" spans="1:19" ht="28.5">
      <c r="A26" s="467"/>
      <c r="B26" s="469"/>
      <c r="C26" s="375"/>
      <c r="D26" s="1141">
        <f>SUM(F25:F26)</f>
        <v>0</v>
      </c>
      <c r="E26" s="1145" t="s">
        <v>46</v>
      </c>
      <c r="F26" s="1145">
        <f>COUNTIFS(宿泊者名簿!$Z$22:$Z$421,1,宿泊者名簿!$E$22:$E$421,"女",宿泊者名簿!$Y$22:$Y$421,5,宿泊者名簿!$M$22:$M$421,FALSE)</f>
        <v>0</v>
      </c>
      <c r="G26" s="1146" t="s">
        <v>47</v>
      </c>
      <c r="H26" s="1141">
        <f>SUM(J25:J26)</f>
        <v>0</v>
      </c>
      <c r="I26" s="1145" t="s">
        <v>46</v>
      </c>
      <c r="J26" s="1145">
        <f>COUNTIFS(宿泊者名簿!$Z$22:$Z$421,1,宿泊者名簿!$E$22:$E$421,"女",宿泊者名簿!$Y$22:$Y$421,6,宿泊者名簿!$M$22:$M$421,FALSE,宿泊者名簿!$R$22:$R$421,FALSE)+COUNTIFS(宿泊者名簿!$Z$22:$Z$421,1,宿泊者名簿!$E$22:$E$421,"女",宿泊者名簿!$Y$22:$Y$421,7,宿泊者名簿!$M$22:$M$421,FALSE,宿泊者名簿!$R$22:$R$421,FALSE)</f>
        <v>0</v>
      </c>
      <c r="K26" s="1146" t="s">
        <v>47</v>
      </c>
      <c r="L26" s="1141">
        <f>SUM(N25:N26)</f>
        <v>0</v>
      </c>
      <c r="M26" s="1145" t="s">
        <v>46</v>
      </c>
      <c r="N26" s="1145">
        <f>COUNTIFS(宿泊者名簿!$Z$22:$Z$421,1,宿泊者名簿!$E$22:$E$421,"女",宿泊者名簿!$Y$22:$Y$421,6,宿泊者名簿!$M$22:$M$421,FALSE,宿泊者名簿!$R$22:$R$421,TRUE)+COUNTIFS(宿泊者名簿!$Z$22:$Z$421,1,宿泊者名簿!$E$22:$E$421,"女",宿泊者名簿!$Y$22:$Y$421,7,宿泊者名簿!$M$22:$M$421,FALSE,宿泊者名簿!$R$22:$R$421,TRUE)</f>
        <v>0</v>
      </c>
      <c r="O26" s="1146" t="s">
        <v>47</v>
      </c>
      <c r="P26" s="1141">
        <f>SUM(R25:R26)</f>
        <v>0</v>
      </c>
      <c r="Q26" s="1145" t="s">
        <v>46</v>
      </c>
      <c r="R26" s="1145">
        <f t="shared" si="1"/>
        <v>0</v>
      </c>
      <c r="S26" s="1146" t="s">
        <v>47</v>
      </c>
    </row>
    <row r="27" spans="1:19" ht="28.5">
      <c r="A27" s="467"/>
      <c r="B27" s="469"/>
      <c r="C27" s="375"/>
      <c r="D27" s="1147" t="s">
        <v>382</v>
      </c>
      <c r="E27" s="1145" t="s">
        <v>45</v>
      </c>
      <c r="F27" s="1145">
        <f>COUNTIFS(宿泊者名簿!$Z$22:$Z$421,1,宿泊者名簿!$E$22:$E$421,"男",宿泊者名簿!$Y$22:$Y$421,5,宿泊者名簿!$M$22:$M$421,TRUE)</f>
        <v>0</v>
      </c>
      <c r="G27" s="1146" t="s">
        <v>47</v>
      </c>
      <c r="H27" s="1154" t="s">
        <v>382</v>
      </c>
      <c r="I27" s="1145" t="s">
        <v>45</v>
      </c>
      <c r="J27" s="1145">
        <f>COUNTIFS(宿泊者名簿!$Z$22:$Z$421,1,宿泊者名簿!$E$22:$E$421,"男",宿泊者名簿!$Y$22:$Y$421,6,宿泊者名簿!$M$22:$M$421,TRUE,宿泊者名簿!$R$22:$R$421,FALSE)+COUNTIFS(宿泊者名簿!$Z$22:$Z$421,1,宿泊者名簿!$E$22:$E$421,"男",宿泊者名簿!$Y$22:$Y$421,7,宿泊者名簿!$M$22:$M$421,TRUE,宿泊者名簿!$R$22:$R$421,FALSE)</f>
        <v>0</v>
      </c>
      <c r="K27" s="1146" t="s">
        <v>47</v>
      </c>
      <c r="L27" s="1154" t="s">
        <v>382</v>
      </c>
      <c r="M27" s="1145" t="s">
        <v>45</v>
      </c>
      <c r="N27" s="1145">
        <f>COUNTIFS(宿泊者名簿!$Z$22:$Z$421,1,宿泊者名簿!$E$22:$E$421,"男",宿泊者名簿!$Y$22:$Y$421,6,宿泊者名簿!$M$22:$M$421,TRUE,宿泊者名簿!$R$22:$R$421,TRUE)+COUNTIFS(宿泊者名簿!$Z$22:$Z$421,1,宿泊者名簿!$E$22:$E$421,"男",宿泊者名簿!$Y$22:$Y$421,7,宿泊者名簿!$M$22:$M$421,TRUE,宿泊者名簿!$R$22:$R$421,TRUE)</f>
        <v>0</v>
      </c>
      <c r="O27" s="1146" t="s">
        <v>47</v>
      </c>
      <c r="P27" s="1154" t="s">
        <v>382</v>
      </c>
      <c r="Q27" s="1145" t="s">
        <v>45</v>
      </c>
      <c r="R27" s="1145">
        <f t="shared" si="1"/>
        <v>0</v>
      </c>
      <c r="S27" s="1146" t="s">
        <v>47</v>
      </c>
    </row>
    <row r="28" spans="1:19" ht="29.25" thickBot="1">
      <c r="A28" s="468"/>
      <c r="B28" s="373"/>
      <c r="C28" s="374"/>
      <c r="D28" s="1150">
        <f>SUM(F27:F28)</f>
        <v>0</v>
      </c>
      <c r="E28" s="1148" t="s">
        <v>46</v>
      </c>
      <c r="F28" s="1148">
        <f>COUNTIFS(宿泊者名簿!$Z$22:$Z$421,1,宿泊者名簿!$E$22:$E$421,"女",宿泊者名簿!$Y$22:$Y$421,5,宿泊者名簿!$M$22:$M$421,TRUE)</f>
        <v>0</v>
      </c>
      <c r="G28" s="1149" t="s">
        <v>47</v>
      </c>
      <c r="H28" s="1150">
        <f>SUM(J27:J28)</f>
        <v>0</v>
      </c>
      <c r="I28" s="1148" t="s">
        <v>46</v>
      </c>
      <c r="J28" s="1148">
        <f>COUNTIFS(宿泊者名簿!$Z$22:$Z$421,1,宿泊者名簿!$E$22:$E$421,"女",宿泊者名簿!$Y$22:$Y$421,6,宿泊者名簿!$M$22:$M$421,TRUE,宿泊者名簿!$R$22:$R$421,FALSE)+COUNTIFS(宿泊者名簿!$Z$22:$Z$421,1,宿泊者名簿!$E$22:$E$421,"女",宿泊者名簿!$Y$22:$Y$421,7,宿泊者名簿!$M$22:$M$421,TRUE,宿泊者名簿!$R$22:$R$421,FALSE)</f>
        <v>0</v>
      </c>
      <c r="K28" s="1149" t="s">
        <v>47</v>
      </c>
      <c r="L28" s="1150">
        <f>SUM(N27:N28)</f>
        <v>0</v>
      </c>
      <c r="M28" s="1148" t="s">
        <v>46</v>
      </c>
      <c r="N28" s="1148">
        <f>COUNTIFS(宿泊者名簿!$Z$22:$Z$421,1,宿泊者名簿!$E$22:$E$421,"女",宿泊者名簿!$Y$22:$Y$421,6,宿泊者名簿!$M$22:$M$421,TRUE,宿泊者名簿!$R$22:$R$421,TRUE)+COUNTIFS(宿泊者名簿!$Z$22:$Z$421,1,宿泊者名簿!$E$22:$E$421,"女",宿泊者名簿!$Y$22:$Y$421,7,宿泊者名簿!$M$22:$M$421,TRUE,宿泊者名簿!$R$22:$R$421,TRUE)</f>
        <v>0</v>
      </c>
      <c r="O28" s="1149" t="s">
        <v>47</v>
      </c>
      <c r="P28" s="1150">
        <f>SUM(R27:R28)</f>
        <v>0</v>
      </c>
      <c r="Q28" s="1148" t="s">
        <v>46</v>
      </c>
      <c r="R28" s="1148">
        <f t="shared" si="1"/>
        <v>0</v>
      </c>
      <c r="S28" s="1149" t="s">
        <v>47</v>
      </c>
    </row>
    <row r="29" spans="1:19" ht="21.75" thickBot="1">
      <c r="D29" s="1151"/>
      <c r="E29" s="1152"/>
      <c r="F29" s="1152"/>
      <c r="G29" s="1152"/>
      <c r="H29" s="1151"/>
      <c r="I29" s="1152"/>
      <c r="J29" s="1152"/>
      <c r="K29" s="1152"/>
      <c r="L29" s="1151"/>
      <c r="M29" s="1152"/>
      <c r="N29" s="1152"/>
      <c r="O29" s="1152"/>
      <c r="P29" s="1151"/>
      <c r="Q29" s="1152"/>
      <c r="R29" s="1152"/>
      <c r="S29" s="1152"/>
    </row>
    <row r="30" spans="1:19" ht="28.5">
      <c r="A30" s="481" t="s">
        <v>386</v>
      </c>
      <c r="B30" s="370"/>
      <c r="C30" s="371"/>
      <c r="D30" s="1142" t="s">
        <v>43</v>
      </c>
      <c r="E30" s="1143" t="s">
        <v>45</v>
      </c>
      <c r="F30" s="1143">
        <f>COUNTIFS(宿泊者名簿!$Z$22:$Z$421,2,宿泊者名簿!$E$22:$E$421,"男",宿泊者名簿!$Y$22:$Y$421,1,宿泊者名簿!$M$22:$M$421,FALSE)</f>
        <v>0</v>
      </c>
      <c r="G30" s="1144" t="s">
        <v>47</v>
      </c>
      <c r="H30" s="1153" t="s">
        <v>131</v>
      </c>
      <c r="I30" s="1143" t="s">
        <v>45</v>
      </c>
      <c r="J30" s="1143">
        <f>COUNTIFS(宿泊者名簿!$Z$22:$Z$421,2,宿泊者名簿!$E$22:$E$421,"男",宿泊者名簿!$Y$22:$Y$421,2,宿泊者名簿!$M$22:$M$421,FALSE)</f>
        <v>0</v>
      </c>
      <c r="K30" s="1144" t="s">
        <v>47</v>
      </c>
      <c r="L30" s="1153" t="s">
        <v>132</v>
      </c>
      <c r="M30" s="1143" t="s">
        <v>45</v>
      </c>
      <c r="N30" s="1143">
        <f>COUNTIFS(宿泊者名簿!$Z$22:$Z$421,2,宿泊者名簿!$E$22:$E$421,"男",宿泊者名簿!$Y$22:$Y$421,3,宿泊者名簿!$M$22:$M$421,FALSE)</f>
        <v>0</v>
      </c>
      <c r="O30" s="1144" t="s">
        <v>47</v>
      </c>
      <c r="P30" s="1153" t="s">
        <v>44</v>
      </c>
      <c r="Q30" s="1143" t="s">
        <v>45</v>
      </c>
      <c r="R30" s="1143">
        <f>COUNTIFS(宿泊者名簿!$Z$22:$Z$421,2,宿泊者名簿!$E$22:$E$421,"男",宿泊者名簿!$Y$22:$Y$421,4,宿泊者名簿!$M$22:$M$421,FALSE)</f>
        <v>0</v>
      </c>
      <c r="S30" s="1144" t="s">
        <v>47</v>
      </c>
    </row>
    <row r="31" spans="1:19" ht="28.5">
      <c r="A31" s="482"/>
      <c r="B31" s="469"/>
      <c r="C31" s="375"/>
      <c r="D31" s="1141">
        <f>SUM(F30:F31)</f>
        <v>0</v>
      </c>
      <c r="E31" s="1145" t="s">
        <v>46</v>
      </c>
      <c r="F31" s="1145">
        <f>COUNTIFS(宿泊者名簿!$Z$22:$Z$421,2,宿泊者名簿!$E$22:$E$421,"女",宿泊者名簿!$Y$22:$Y$421,1,宿泊者名簿!$M$22:$M$421,FALSE)</f>
        <v>0</v>
      </c>
      <c r="G31" s="1146" t="s">
        <v>47</v>
      </c>
      <c r="H31" s="1141">
        <f>SUM(J30:J31)</f>
        <v>0</v>
      </c>
      <c r="I31" s="1145" t="s">
        <v>46</v>
      </c>
      <c r="J31" s="1145">
        <f>COUNTIFS(宿泊者名簿!$Z$22:$Z$421,2,宿泊者名簿!$E$22:$E$421,"女",宿泊者名簿!$Y$22:$Y$421,2,宿泊者名簿!$M$22:$M$421,FALSE)</f>
        <v>0</v>
      </c>
      <c r="K31" s="1146" t="s">
        <v>47</v>
      </c>
      <c r="L31" s="1141">
        <f>SUM(N30:N31)</f>
        <v>0</v>
      </c>
      <c r="M31" s="1145" t="s">
        <v>46</v>
      </c>
      <c r="N31" s="1145">
        <f>COUNTIFS(宿泊者名簿!$Z$22:$Z$421,2,宿泊者名簿!$E$22:$E$421,"女",宿泊者名簿!$Y$22:$Y$421,3,宿泊者名簿!$M$22:$M$421,FALSE)</f>
        <v>0</v>
      </c>
      <c r="O31" s="1146" t="s">
        <v>47</v>
      </c>
      <c r="P31" s="1141">
        <f>SUM(R30:R31)</f>
        <v>0</v>
      </c>
      <c r="Q31" s="1145" t="s">
        <v>46</v>
      </c>
      <c r="R31" s="1145">
        <f>COUNTIFS(宿泊者名簿!$Z$22:$Z$421,2,宿泊者名簿!$E$22:$E$421,"女",宿泊者名簿!$Y$22:$Y$421,4,宿泊者名簿!$M$22:$M$421,FALSE)</f>
        <v>0</v>
      </c>
      <c r="S31" s="1146" t="s">
        <v>47</v>
      </c>
    </row>
    <row r="32" spans="1:19" ht="28.5">
      <c r="A32" s="482"/>
      <c r="B32" s="469"/>
      <c r="C32" s="375"/>
      <c r="D32" s="1147" t="s">
        <v>382</v>
      </c>
      <c r="E32" s="1145" t="s">
        <v>45</v>
      </c>
      <c r="F32" s="1145">
        <f>COUNTIFS(宿泊者名簿!$Z$22:$Z$421,2,宿泊者名簿!$E$22:$E$421,"男",宿泊者名簿!$Y$22:$Y$421,1,宿泊者名簿!$M$22:$M$421,TRUE)</f>
        <v>0</v>
      </c>
      <c r="G32" s="1146" t="s">
        <v>47</v>
      </c>
      <c r="H32" s="1154" t="s">
        <v>382</v>
      </c>
      <c r="I32" s="1145" t="s">
        <v>45</v>
      </c>
      <c r="J32" s="1145">
        <f>COUNTIFS(宿泊者名簿!$Z$22:$Z$421,2,宿泊者名簿!$E$22:$E$421,"男",宿泊者名簿!$Y$22:$Y$421,2,宿泊者名簿!$M$22:$M$421,TRUE)</f>
        <v>0</v>
      </c>
      <c r="K32" s="1146" t="s">
        <v>47</v>
      </c>
      <c r="L32" s="1154" t="s">
        <v>382</v>
      </c>
      <c r="M32" s="1145" t="s">
        <v>45</v>
      </c>
      <c r="N32" s="1145">
        <f>COUNTIFS(宿泊者名簿!$Z$22:$Z$421,2,宿泊者名簿!$E$22:$E$421,"男",宿泊者名簿!$Y$22:$Y$421,3,宿泊者名簿!$M$22:$M$421,TRUE)</f>
        <v>0</v>
      </c>
      <c r="O32" s="1146" t="s">
        <v>47</v>
      </c>
      <c r="P32" s="1154" t="s">
        <v>382</v>
      </c>
      <c r="Q32" s="1145" t="s">
        <v>45</v>
      </c>
      <c r="R32" s="1145">
        <f>COUNTIFS(宿泊者名簿!$Z$22:$Z$421,2,宿泊者名簿!$E$22:$E$421,"男",宿泊者名簿!$Y$22:$Y$421,4,宿泊者名簿!$M$22:$M$421,TRUE)</f>
        <v>0</v>
      </c>
      <c r="S32" s="1146" t="s">
        <v>47</v>
      </c>
    </row>
    <row r="33" spans="1:19" ht="29.25" thickBot="1">
      <c r="A33" s="372"/>
      <c r="B33" s="373"/>
      <c r="C33" s="374"/>
      <c r="D33" s="1141">
        <f>SUM(F32:F33)</f>
        <v>0</v>
      </c>
      <c r="E33" s="1148" t="s">
        <v>46</v>
      </c>
      <c r="F33" s="1148">
        <f>COUNTIFS(宿泊者名簿!$Z$22:$Z$421,2,宿泊者名簿!$E$22:$E$421,"女",宿泊者名簿!$Y$22:$Y$421,1,宿泊者名簿!$M$22:$M$421,TRUE)</f>
        <v>0</v>
      </c>
      <c r="G33" s="1149" t="s">
        <v>47</v>
      </c>
      <c r="H33" s="1141">
        <f>SUM(J32:J33)</f>
        <v>0</v>
      </c>
      <c r="I33" s="1148" t="s">
        <v>46</v>
      </c>
      <c r="J33" s="1148">
        <f>COUNTIFS(宿泊者名簿!$Z$22:$Z$421,2,宿泊者名簿!$E$22:$E$421,"女",宿泊者名簿!$Y$22:$Y$421,2,宿泊者名簿!$M$22:$M$421,TRUE)</f>
        <v>0</v>
      </c>
      <c r="K33" s="1149" t="s">
        <v>47</v>
      </c>
      <c r="L33" s="1141">
        <f>SUM(N32:N33)</f>
        <v>0</v>
      </c>
      <c r="M33" s="1148" t="s">
        <v>46</v>
      </c>
      <c r="N33" s="1148">
        <f>COUNTIFS(宿泊者名簿!$Z$22:$Z$421,2,宿泊者名簿!$E$22:$E$421,"女",宿泊者名簿!$Y$22:$Y$421,3,宿泊者名簿!$M$22:$M$421,TRUE)</f>
        <v>0</v>
      </c>
      <c r="O33" s="1149" t="s">
        <v>47</v>
      </c>
      <c r="P33" s="1141">
        <f>SUM(R32:R33)</f>
        <v>0</v>
      </c>
      <c r="Q33" s="1148" t="s">
        <v>46</v>
      </c>
      <c r="R33" s="1148">
        <f>COUNTIFS(宿泊者名簿!$Z$22:$Z$421,2,宿泊者名簿!$E$22:$E$421,"女",宿泊者名簿!$Y$22:$Y$421,4,宿泊者名簿!$M$22:$M$421,TRUE)</f>
        <v>0</v>
      </c>
      <c r="S33" s="1149" t="s">
        <v>47</v>
      </c>
    </row>
    <row r="34" spans="1:19" ht="28.5">
      <c r="A34" s="467" t="s">
        <v>135</v>
      </c>
      <c r="B34" s="469">
        <f>SUM(F30:F37,J30:J37,N30:N37,R30:R33)</f>
        <v>0</v>
      </c>
      <c r="C34" s="375" t="s">
        <v>47</v>
      </c>
      <c r="D34" s="1142" t="s">
        <v>134</v>
      </c>
      <c r="E34" s="1143" t="s">
        <v>45</v>
      </c>
      <c r="F34" s="1143">
        <f>COUNTIFS(宿泊者名簿!$Z$22:$Z$421,2,宿泊者名簿!$E$22:$E$421,"男",宿泊者名簿!$Y$22:$Y$421,5,宿泊者名簿!$M$22:$M$421,FALSE)</f>
        <v>0</v>
      </c>
      <c r="G34" s="1144" t="s">
        <v>47</v>
      </c>
      <c r="H34" s="1153" t="s">
        <v>282</v>
      </c>
      <c r="I34" s="1143" t="s">
        <v>45</v>
      </c>
      <c r="J34" s="1143">
        <f>COUNTIFS(宿泊者名簿!$Z$22:$Z$421,2,宿泊者名簿!$E$22:$E$421,"男",宿泊者名簿!$Y$22:$Y$421,6,宿泊者名簿!$M$22:$M$421,FALSE,宿泊者名簿!$R$22:$R$421,FALSE)+COUNTIFS(宿泊者名簿!$Z$22:$Z$421,2,宿泊者名簿!$E$22:$E$421,"男",宿泊者名簿!$Y$22:$Y$421,7,宿泊者名簿!$M$22:$M$421,FALSE,宿泊者名簿!$R$22:$R$421,FALSE)</f>
        <v>0</v>
      </c>
      <c r="K34" s="1144" t="s">
        <v>47</v>
      </c>
      <c r="L34" s="1153" t="s">
        <v>383</v>
      </c>
      <c r="M34" s="1143" t="s">
        <v>45</v>
      </c>
      <c r="N34" s="1143">
        <f>COUNTIFS(宿泊者名簿!$Z$22:$Z$421,2,宿泊者名簿!$E$22:$E$421,"男",宿泊者名簿!$Y$22:$Y$421,6,宿泊者名簿!$M$22:$M$421,FALSE,宿泊者名簿!$R$22:$R$421,TRUE)+COUNTIFS(宿泊者名簿!$Z$22:$Z$421,2,宿泊者名簿!$E$22:$E$421,"男",宿泊者名簿!$Y$22:$Y$421,7,宿泊者名簿!$M$22:$M$421,FALSE,宿泊者名簿!$R$22:$R$421,TRUE)</f>
        <v>0</v>
      </c>
      <c r="O34" s="1144" t="s">
        <v>47</v>
      </c>
      <c r="P34" s="1153" t="s">
        <v>287</v>
      </c>
      <c r="Q34" s="1143" t="s">
        <v>136</v>
      </c>
      <c r="R34" s="1143">
        <f t="shared" ref="R34:R37" si="2">SUM(F30,J30,N30,R30,F34,J34,N34)</f>
        <v>0</v>
      </c>
      <c r="S34" s="1144" t="s">
        <v>47</v>
      </c>
    </row>
    <row r="35" spans="1:19" ht="28.5">
      <c r="A35" s="467"/>
      <c r="B35" s="469"/>
      <c r="C35" s="375"/>
      <c r="D35" s="1141">
        <f>SUM(F34:F35)</f>
        <v>0</v>
      </c>
      <c r="E35" s="1145" t="s">
        <v>46</v>
      </c>
      <c r="F35" s="1145">
        <f>COUNTIFS(宿泊者名簿!$Z$22:$Z$421,2,宿泊者名簿!$E$22:$E$421,"女",宿泊者名簿!$Y$22:$Y$421,5,宿泊者名簿!$M$22:$M$421,FALSE)</f>
        <v>0</v>
      </c>
      <c r="G35" s="1146" t="s">
        <v>47</v>
      </c>
      <c r="H35" s="1141">
        <f>SUM(J34:J35)</f>
        <v>0</v>
      </c>
      <c r="I35" s="1145" t="s">
        <v>46</v>
      </c>
      <c r="J35" s="1145">
        <f>COUNTIFS(宿泊者名簿!$Z$22:$Z$421,2,宿泊者名簿!$E$22:$E$421,"女",宿泊者名簿!$Y$22:$Y$421,6,宿泊者名簿!$M$22:$M$421,FALSE,宿泊者名簿!$R$22:$R$421,FALSE)+COUNTIFS(宿泊者名簿!$Z$22:$Z$421,2,宿泊者名簿!$E$22:$E$421,"女",宿泊者名簿!$Y$22:$Y$421,7,宿泊者名簿!$M$22:$M$421,FALSE,宿泊者名簿!$R$22:$R$421,FALSE)</f>
        <v>0</v>
      </c>
      <c r="K35" s="1146" t="s">
        <v>47</v>
      </c>
      <c r="L35" s="1141">
        <f>SUM(N34:N35)</f>
        <v>0</v>
      </c>
      <c r="M35" s="1145" t="s">
        <v>46</v>
      </c>
      <c r="N35" s="1145">
        <f>COUNTIFS(宿泊者名簿!$Z$22:$Z$421,2,宿泊者名簿!$E$22:$E$421,"女",宿泊者名簿!$Y$22:$Y$421,6,宿泊者名簿!$M$22:$M$421,FALSE,宿泊者名簿!$R$22:$R$421,TRUE)+COUNTIFS(宿泊者名簿!$Z$22:$Z$421,2,宿泊者名簿!$E$22:$E$421,"女",宿泊者名簿!$Y$22:$Y$421,7,宿泊者名簿!$M$22:$M$421,FALSE,宿泊者名簿!$R$22:$R$421,TRUE)</f>
        <v>0</v>
      </c>
      <c r="O35" s="1146" t="s">
        <v>47</v>
      </c>
      <c r="P35" s="1141">
        <f>SUM(R34:R35)</f>
        <v>0</v>
      </c>
      <c r="Q35" s="1145" t="s">
        <v>46</v>
      </c>
      <c r="R35" s="1145">
        <f t="shared" si="2"/>
        <v>0</v>
      </c>
      <c r="S35" s="1146" t="s">
        <v>47</v>
      </c>
    </row>
    <row r="36" spans="1:19" ht="28.5">
      <c r="A36" s="467"/>
      <c r="B36" s="469"/>
      <c r="C36" s="375"/>
      <c r="D36" s="1147" t="s">
        <v>382</v>
      </c>
      <c r="E36" s="1145" t="s">
        <v>45</v>
      </c>
      <c r="F36" s="1145">
        <f>COUNTIFS(宿泊者名簿!$Z$22:$Z$421,2,宿泊者名簿!$E$22:$E$421,"男",宿泊者名簿!$Y$22:$Y$421,5,宿泊者名簿!$M$22:$M$421,TRUE)</f>
        <v>0</v>
      </c>
      <c r="G36" s="1146" t="s">
        <v>47</v>
      </c>
      <c r="H36" s="1154" t="s">
        <v>382</v>
      </c>
      <c r="I36" s="1145" t="s">
        <v>45</v>
      </c>
      <c r="J36" s="1145">
        <f>COUNTIFS(宿泊者名簿!$Z$22:$Z$421,2,宿泊者名簿!$E$22:$E$421,"男",宿泊者名簿!$Y$22:$Y$421,6,宿泊者名簿!$M$22:$M$421,TRUE,宿泊者名簿!$R$22:$R$421,FALSE)+COUNTIFS(宿泊者名簿!$Z$22:$Z$421,2,宿泊者名簿!$E$22:$E$421,"男",宿泊者名簿!$Y$22:$Y$421,7,宿泊者名簿!$M$22:$M$421,TRUE,宿泊者名簿!$R$22:$R$421,FALSE)</f>
        <v>0</v>
      </c>
      <c r="K36" s="1146" t="s">
        <v>47</v>
      </c>
      <c r="L36" s="1154" t="s">
        <v>382</v>
      </c>
      <c r="M36" s="1145" t="s">
        <v>45</v>
      </c>
      <c r="N36" s="1145">
        <f>COUNTIFS(宿泊者名簿!$Z$22:$Z$421,2,宿泊者名簿!$E$22:$E$421,"男",宿泊者名簿!$Y$22:$Y$421,6,宿泊者名簿!$M$22:$M$421,TRUE,宿泊者名簿!$R$22:$R$421,TRUE)+COUNTIFS(宿泊者名簿!$Z$22:$Z$421,2,宿泊者名簿!$E$22:$E$421,"男",宿泊者名簿!$Y$22:$Y$421,7,宿泊者名簿!$M$22:$M$421,TRUE,宿泊者名簿!$R$22:$R$421,TRUE)</f>
        <v>0</v>
      </c>
      <c r="O36" s="1146" t="s">
        <v>47</v>
      </c>
      <c r="P36" s="1154" t="s">
        <v>382</v>
      </c>
      <c r="Q36" s="1145" t="s">
        <v>45</v>
      </c>
      <c r="R36" s="1145">
        <f t="shared" si="2"/>
        <v>0</v>
      </c>
      <c r="S36" s="1146" t="s">
        <v>47</v>
      </c>
    </row>
    <row r="37" spans="1:19" ht="29.25" thickBot="1">
      <c r="A37" s="468"/>
      <c r="B37" s="373"/>
      <c r="C37" s="374"/>
      <c r="D37" s="1150">
        <f>SUM(F36:F37)</f>
        <v>0</v>
      </c>
      <c r="E37" s="1148" t="s">
        <v>46</v>
      </c>
      <c r="F37" s="1148">
        <f>COUNTIFS(宿泊者名簿!$Z$22:$Z$421,2,宿泊者名簿!$E$22:$E$421,"女",宿泊者名簿!$Y$22:$Y$421,5,宿泊者名簿!$M$22:$M$421,TRUE)</f>
        <v>0</v>
      </c>
      <c r="G37" s="1149" t="s">
        <v>47</v>
      </c>
      <c r="H37" s="1150">
        <f>SUM(J36:J37)</f>
        <v>0</v>
      </c>
      <c r="I37" s="1148" t="s">
        <v>46</v>
      </c>
      <c r="J37" s="1148">
        <f>COUNTIFS(宿泊者名簿!$Z$22:$Z$421,2,宿泊者名簿!$E$22:$E$421,"女",宿泊者名簿!$Y$22:$Y$421,6,宿泊者名簿!$M$22:$M$421,TRUE,宿泊者名簿!$R$22:$R$421,FALSE)+COUNTIFS(宿泊者名簿!$Z$22:$Z$421,2,宿泊者名簿!$E$22:$E$421,"女",宿泊者名簿!$Y$22:$Y$421,7,宿泊者名簿!$M$22:$M$421,TRUE,宿泊者名簿!$R$22:$R$421,FALSE)</f>
        <v>0</v>
      </c>
      <c r="K37" s="1149" t="s">
        <v>47</v>
      </c>
      <c r="L37" s="1150">
        <f>SUM(N36:N37)</f>
        <v>0</v>
      </c>
      <c r="M37" s="1148" t="s">
        <v>46</v>
      </c>
      <c r="N37" s="1148">
        <f>COUNTIFS(宿泊者名簿!$Z$22:$Z$421,2,宿泊者名簿!$E$22:$E$421,"女",宿泊者名簿!$Y$22:$Y$421,6,宿泊者名簿!$M$22:$M$421,TRUE,宿泊者名簿!$R$22:$R$421,TRUE)+COUNTIFS(宿泊者名簿!$Z$22:$Z$421,2,宿泊者名簿!$E$22:$E$421,"女",宿泊者名簿!$Y$22:$Y$421,7,宿泊者名簿!$M$22:$M$421,TRUE,宿泊者名簿!$R$22:$R$421,TRUE)</f>
        <v>0</v>
      </c>
      <c r="O37" s="1149" t="s">
        <v>47</v>
      </c>
      <c r="P37" s="1150">
        <f>SUM(R36:R37)</f>
        <v>0</v>
      </c>
      <c r="Q37" s="1148" t="s">
        <v>46</v>
      </c>
      <c r="R37" s="1148">
        <f t="shared" si="2"/>
        <v>0</v>
      </c>
      <c r="S37" s="1149" t="s">
        <v>47</v>
      </c>
    </row>
    <row r="38" spans="1:19" ht="21.75" thickBot="1">
      <c r="D38" s="1151"/>
      <c r="E38" s="1152"/>
      <c r="F38" s="1152"/>
      <c r="G38" s="1152"/>
      <c r="H38" s="1151"/>
      <c r="I38" s="1152"/>
      <c r="J38" s="1152"/>
      <c r="K38" s="1152"/>
      <c r="L38" s="1151"/>
      <c r="M38" s="1152"/>
      <c r="N38" s="1152"/>
      <c r="O38" s="1152"/>
      <c r="P38" s="1151"/>
      <c r="Q38" s="1152"/>
      <c r="R38" s="1152"/>
      <c r="S38" s="1152"/>
    </row>
    <row r="39" spans="1:19" ht="28.5">
      <c r="A39" s="481" t="s">
        <v>387</v>
      </c>
      <c r="B39" s="370"/>
      <c r="C39" s="371"/>
      <c r="D39" s="1142" t="s">
        <v>389</v>
      </c>
      <c r="E39" s="1143" t="s">
        <v>45</v>
      </c>
      <c r="F39" s="1143">
        <f>COUNTIFS(宿泊者名簿!$Z$22:$Z$421,3,宿泊者名簿!$E$22:$E$421,"男",宿泊者名簿!$Y$22:$Y$421,1,宿泊者名簿!$M$22:$M$421,FALSE)</f>
        <v>0</v>
      </c>
      <c r="G39" s="1144" t="s">
        <v>47</v>
      </c>
      <c r="H39" s="1153" t="s">
        <v>131</v>
      </c>
      <c r="I39" s="1143" t="s">
        <v>45</v>
      </c>
      <c r="J39" s="1143">
        <f>COUNTIFS(宿泊者名簿!$Z$22:$Z$421,3,宿泊者名簿!$E$22:$E$421,"男",宿泊者名簿!$Y$22:$Y$421,2,宿泊者名簿!$M$22:$M$421,FALSE)</f>
        <v>0</v>
      </c>
      <c r="K39" s="1144" t="s">
        <v>47</v>
      </c>
      <c r="L39" s="1153" t="s">
        <v>132</v>
      </c>
      <c r="M39" s="1143" t="s">
        <v>45</v>
      </c>
      <c r="N39" s="1143">
        <f>COUNTIFS(宿泊者名簿!$Z$22:$Z$421,3,宿泊者名簿!$E$22:$E$421,"男",宿泊者名簿!$Y$22:$Y$421,3,宿泊者名簿!$M$22:$M$421,FALSE)</f>
        <v>0</v>
      </c>
      <c r="O39" s="1144" t="s">
        <v>47</v>
      </c>
      <c r="P39" s="1153" t="s">
        <v>44</v>
      </c>
      <c r="Q39" s="1143" t="s">
        <v>45</v>
      </c>
      <c r="R39" s="1143">
        <f>COUNTIFS(宿泊者名簿!$Z$22:$Z$421,3,宿泊者名簿!$E$22:$E$421,"男",宿泊者名簿!$Y$22:$Y$421,4,宿泊者名簿!$M$22:$M$421,FALSE)</f>
        <v>0</v>
      </c>
      <c r="S39" s="1144" t="s">
        <v>47</v>
      </c>
    </row>
    <row r="40" spans="1:19" ht="28.5">
      <c r="A40" s="482"/>
      <c r="B40" s="469"/>
      <c r="C40" s="375"/>
      <c r="D40" s="1141">
        <f>SUM(F39:F40)</f>
        <v>0</v>
      </c>
      <c r="E40" s="1145" t="s">
        <v>46</v>
      </c>
      <c r="F40" s="1145">
        <f>COUNTIFS(宿泊者名簿!$Z$22:$Z$421,3,宿泊者名簿!$E$22:$E$421,"女",宿泊者名簿!$Y$22:$Y$421,1,宿泊者名簿!$M$22:$M$421,FALSE)</f>
        <v>0</v>
      </c>
      <c r="G40" s="1146" t="s">
        <v>47</v>
      </c>
      <c r="H40" s="1141">
        <f>SUM(J39:J40)</f>
        <v>0</v>
      </c>
      <c r="I40" s="1145" t="s">
        <v>46</v>
      </c>
      <c r="J40" s="1145">
        <f>COUNTIFS(宿泊者名簿!$Z$22:$Z$421,3,宿泊者名簿!$E$22:$E$421,"女",宿泊者名簿!$Y$22:$Y$421,2,宿泊者名簿!$M$22:$M$421,FALSE)</f>
        <v>0</v>
      </c>
      <c r="K40" s="1146" t="s">
        <v>47</v>
      </c>
      <c r="L40" s="1141">
        <f>SUM(N39:N40)</f>
        <v>0</v>
      </c>
      <c r="M40" s="1145" t="s">
        <v>46</v>
      </c>
      <c r="N40" s="1145">
        <f>COUNTIFS(宿泊者名簿!$Z$22:$Z$421,3,宿泊者名簿!$E$22:$E$421,"女",宿泊者名簿!$Y$22:$Y$421,3,宿泊者名簿!$M$22:$M$421,FALSE)</f>
        <v>0</v>
      </c>
      <c r="O40" s="1146" t="s">
        <v>47</v>
      </c>
      <c r="P40" s="1141">
        <f>SUM(R39:R40)</f>
        <v>0</v>
      </c>
      <c r="Q40" s="1145" t="s">
        <v>46</v>
      </c>
      <c r="R40" s="1145">
        <f>COUNTIFS(宿泊者名簿!$Z$22:$Z$421,3,宿泊者名簿!$E$22:$E$421,"女",宿泊者名簿!$Y$22:$Y$421,4,宿泊者名簿!$M$22:$M$421,FALSE)</f>
        <v>0</v>
      </c>
      <c r="S40" s="1146" t="s">
        <v>47</v>
      </c>
    </row>
    <row r="41" spans="1:19" ht="28.5">
      <c r="A41" s="482"/>
      <c r="B41" s="469"/>
      <c r="C41" s="375"/>
      <c r="D41" s="1147" t="s">
        <v>390</v>
      </c>
      <c r="E41" s="1145" t="s">
        <v>45</v>
      </c>
      <c r="F41" s="1145">
        <f>COUNTIFS(宿泊者名簿!$Z$22:$Z$421,3,宿泊者名簿!$E$22:$E$421,"男",宿泊者名簿!$Y$22:$Y$421,1,宿泊者名簿!$M$22:$M$421,TRUE)</f>
        <v>0</v>
      </c>
      <c r="G41" s="1146" t="s">
        <v>47</v>
      </c>
      <c r="H41" s="1154" t="s">
        <v>382</v>
      </c>
      <c r="I41" s="1145" t="s">
        <v>45</v>
      </c>
      <c r="J41" s="1145">
        <f>COUNTIFS(宿泊者名簿!$Z$22:$Z$421,3,宿泊者名簿!$E$22:$E$421,"男",宿泊者名簿!$Y$22:$Y$421,2,宿泊者名簿!$M$22:$M$421,TRUE)</f>
        <v>0</v>
      </c>
      <c r="K41" s="1146" t="s">
        <v>47</v>
      </c>
      <c r="L41" s="1154" t="s">
        <v>382</v>
      </c>
      <c r="M41" s="1145" t="s">
        <v>45</v>
      </c>
      <c r="N41" s="1145">
        <f>COUNTIFS(宿泊者名簿!$Z$22:$Z$421,3,宿泊者名簿!$E$22:$E$421,"男",宿泊者名簿!$Y$22:$Y$421,3,宿泊者名簿!$M$22:$M$421,TRUE)</f>
        <v>0</v>
      </c>
      <c r="O41" s="1146" t="s">
        <v>47</v>
      </c>
      <c r="P41" s="1154" t="s">
        <v>382</v>
      </c>
      <c r="Q41" s="1145" t="s">
        <v>45</v>
      </c>
      <c r="R41" s="1145">
        <f>COUNTIFS(宿泊者名簿!$Z$22:$Z$421,3,宿泊者名簿!$E$22:$E$421,"男",宿泊者名簿!$Y$22:$Y$421,4,宿泊者名簿!$M$22:$M$421,TRUE)</f>
        <v>0</v>
      </c>
      <c r="S41" s="1146" t="s">
        <v>47</v>
      </c>
    </row>
    <row r="42" spans="1:19" ht="29.25" thickBot="1">
      <c r="A42" s="372"/>
      <c r="B42" s="373"/>
      <c r="C42" s="374"/>
      <c r="D42" s="1141">
        <f>SUM(F41:F42)</f>
        <v>0</v>
      </c>
      <c r="E42" s="1148" t="s">
        <v>46</v>
      </c>
      <c r="F42" s="1148">
        <f>COUNTIFS(宿泊者名簿!$Z$22:$Z$421,3,宿泊者名簿!$E$22:$E$421,"女",宿泊者名簿!$Y$22:$Y$421,1,宿泊者名簿!$M$22:$M$421,TRUE)</f>
        <v>0</v>
      </c>
      <c r="G42" s="1149" t="s">
        <v>47</v>
      </c>
      <c r="H42" s="1141">
        <f>SUM(J41:J42)</f>
        <v>0</v>
      </c>
      <c r="I42" s="1148" t="s">
        <v>46</v>
      </c>
      <c r="J42" s="1148">
        <f>COUNTIFS(宿泊者名簿!$Z$22:$Z$421,3,宿泊者名簿!$E$22:$E$421,"女",宿泊者名簿!$Y$22:$Y$421,2,宿泊者名簿!$M$22:$M$421,TRUE)</f>
        <v>0</v>
      </c>
      <c r="K42" s="1149" t="s">
        <v>47</v>
      </c>
      <c r="L42" s="1141">
        <f>SUM(N41:N42)</f>
        <v>0</v>
      </c>
      <c r="M42" s="1148" t="s">
        <v>46</v>
      </c>
      <c r="N42" s="1148">
        <f>COUNTIFS(宿泊者名簿!$Z$22:$Z$421,3,宿泊者名簿!$E$22:$E$421,"女",宿泊者名簿!$Y$22:$Y$421,3,宿泊者名簿!$M$22:$M$421,TRUE)</f>
        <v>0</v>
      </c>
      <c r="O42" s="1149" t="s">
        <v>47</v>
      </c>
      <c r="P42" s="1141">
        <f>SUM(R41:R42)</f>
        <v>0</v>
      </c>
      <c r="Q42" s="1148" t="s">
        <v>46</v>
      </c>
      <c r="R42" s="1148">
        <f>COUNTIFS(宿泊者名簿!$Z$22:$Z$421,3,宿泊者名簿!$E$22:$E$421,"女",宿泊者名簿!$Y$22:$Y$421,4,宿泊者名簿!$M$22:$M$421,TRUE)</f>
        <v>0</v>
      </c>
      <c r="S42" s="1149" t="s">
        <v>47</v>
      </c>
    </row>
    <row r="43" spans="1:19" ht="28.5">
      <c r="A43" s="467" t="s">
        <v>135</v>
      </c>
      <c r="B43" s="469">
        <f>SUM(F39:F46,J39:J46,N39:N46,R39:R42)</f>
        <v>0</v>
      </c>
      <c r="C43" s="375" t="s">
        <v>47</v>
      </c>
      <c r="D43" s="1142" t="s">
        <v>391</v>
      </c>
      <c r="E43" s="1143" t="s">
        <v>45</v>
      </c>
      <c r="F43" s="1143">
        <f>COUNTIFS(宿泊者名簿!$Z$22:$Z$421,3,宿泊者名簿!$E$22:$E$421,"男",宿泊者名簿!$Y$22:$Y$421,5,宿泊者名簿!$M$22:$M$421,FALSE)</f>
        <v>0</v>
      </c>
      <c r="G43" s="1144" t="s">
        <v>47</v>
      </c>
      <c r="H43" s="1153" t="s">
        <v>282</v>
      </c>
      <c r="I43" s="1143" t="s">
        <v>45</v>
      </c>
      <c r="J43" s="1143">
        <f>COUNTIFS(宿泊者名簿!$Z$22:$Z$421,3,宿泊者名簿!$E$22:$E$421,"男",宿泊者名簿!$Y$22:$Y$421,6,宿泊者名簿!$M$22:$M$421,FALSE,宿泊者名簿!$R$22:$R$421,FALSE)+COUNTIFS(宿泊者名簿!$Z$22:$Z$421,3,宿泊者名簿!$E$22:$E$421,"男",宿泊者名簿!$Y$22:$Y$421,7,宿泊者名簿!$M$22:$M$421,FALSE,宿泊者名簿!$R$22:$R$421,FALSE)</f>
        <v>0</v>
      </c>
      <c r="K43" s="1144" t="s">
        <v>47</v>
      </c>
      <c r="L43" s="1153" t="s">
        <v>383</v>
      </c>
      <c r="M43" s="1143" t="s">
        <v>45</v>
      </c>
      <c r="N43" s="1143">
        <f>COUNTIFS(宿泊者名簿!$Z$22:$Z$421,3,宿泊者名簿!$E$22:$E$421,"男",宿泊者名簿!$Y$22:$Y$421,6,宿泊者名簿!$M$22:$M$421,FALSE,宿泊者名簿!$R$22:$R$421,TRUE)+COUNTIFS(宿泊者名簿!$Z$22:$Z$421,3,宿泊者名簿!$E$22:$E$421,"男",宿泊者名簿!$Y$22:$Y$421,7,宿泊者名簿!$M$22:$M$421,FALSE,宿泊者名簿!$R$22:$R$421,TRUE)</f>
        <v>0</v>
      </c>
      <c r="O43" s="1144" t="s">
        <v>47</v>
      </c>
      <c r="P43" s="1153" t="s">
        <v>287</v>
      </c>
      <c r="Q43" s="1143" t="s">
        <v>136</v>
      </c>
      <c r="R43" s="1143">
        <f t="shared" ref="R43:R46" si="3">SUM(F39,J39,N39,R39,F43,J43,N43)</f>
        <v>0</v>
      </c>
      <c r="S43" s="1144" t="s">
        <v>47</v>
      </c>
    </row>
    <row r="44" spans="1:19" ht="28.5">
      <c r="A44" s="467"/>
      <c r="B44" s="469"/>
      <c r="C44" s="375"/>
      <c r="D44" s="1141">
        <f>SUM(F43:F44)</f>
        <v>0</v>
      </c>
      <c r="E44" s="1145" t="s">
        <v>46</v>
      </c>
      <c r="F44" s="1145">
        <f>COUNTIFS(宿泊者名簿!$Z$22:$Z$421,3,宿泊者名簿!$E$22:$E$421,"女",宿泊者名簿!$Y$22:$Y$421,5,宿泊者名簿!$M$22:$M$421,FALSE)</f>
        <v>0</v>
      </c>
      <c r="G44" s="1146" t="s">
        <v>47</v>
      </c>
      <c r="H44" s="1141">
        <f>SUM(J43:J44)</f>
        <v>0</v>
      </c>
      <c r="I44" s="1145" t="s">
        <v>46</v>
      </c>
      <c r="J44" s="1145">
        <f>COUNTIFS(宿泊者名簿!$Z$22:$Z$421,3,宿泊者名簿!$E$22:$E$421,"女",宿泊者名簿!$Y$22:$Y$421,6,宿泊者名簿!$M$22:$M$421,FALSE,宿泊者名簿!$R$22:$R$421,FALSE)+COUNTIFS(宿泊者名簿!$Z$22:$Z$421,3,宿泊者名簿!$E$22:$E$421,"女",宿泊者名簿!$Y$22:$Y$421,7,宿泊者名簿!$M$22:$M$421,FALSE,宿泊者名簿!$R$22:$R$421,FALSE)</f>
        <v>0</v>
      </c>
      <c r="K44" s="1146" t="s">
        <v>47</v>
      </c>
      <c r="L44" s="1141">
        <f>SUM(N43:N44)</f>
        <v>0</v>
      </c>
      <c r="M44" s="1145" t="s">
        <v>46</v>
      </c>
      <c r="N44" s="1145">
        <f>COUNTIFS(宿泊者名簿!$Z$22:$Z$421,3,宿泊者名簿!$E$22:$E$421,"女",宿泊者名簿!$Y$22:$Y$421,6,宿泊者名簿!$M$22:$M$421,FALSE,宿泊者名簿!$R$22:$R$421,TRUE)+COUNTIFS(宿泊者名簿!$Z$22:$Z$421,3,宿泊者名簿!$E$22:$E$421,"女",宿泊者名簿!$Y$22:$Y$421,7,宿泊者名簿!$M$22:$M$421,FALSE,宿泊者名簿!$R$22:$R$421,TRUE)</f>
        <v>0</v>
      </c>
      <c r="O44" s="1146" t="s">
        <v>47</v>
      </c>
      <c r="P44" s="1141">
        <f>SUM(R43:R44)</f>
        <v>0</v>
      </c>
      <c r="Q44" s="1145" t="s">
        <v>46</v>
      </c>
      <c r="R44" s="1145">
        <f t="shared" si="3"/>
        <v>0</v>
      </c>
      <c r="S44" s="1146" t="s">
        <v>47</v>
      </c>
    </row>
    <row r="45" spans="1:19" ht="28.5">
      <c r="A45" s="467"/>
      <c r="B45" s="469"/>
      <c r="C45" s="375"/>
      <c r="D45" s="1147" t="s">
        <v>390</v>
      </c>
      <c r="E45" s="1145" t="s">
        <v>45</v>
      </c>
      <c r="F45" s="1145">
        <f>COUNTIFS(宿泊者名簿!$Z$22:$Z$421,3,宿泊者名簿!$E$22:$E$421,"男",宿泊者名簿!$Y$22:$Y$421,5,宿泊者名簿!$M$22:$M$421,TRUE)</f>
        <v>0</v>
      </c>
      <c r="G45" s="1146" t="s">
        <v>47</v>
      </c>
      <c r="H45" s="1154" t="s">
        <v>382</v>
      </c>
      <c r="I45" s="1145" t="s">
        <v>45</v>
      </c>
      <c r="J45" s="1145">
        <f>COUNTIFS(宿泊者名簿!$Z$22:$Z$421,3,宿泊者名簿!$E$22:$E$421,"男",宿泊者名簿!$Y$22:$Y$421,6,宿泊者名簿!$M$22:$M$421,TRUE,宿泊者名簿!$R$22:$R$421,FALSE)+COUNTIFS(宿泊者名簿!$Z$22:$Z$421,3,宿泊者名簿!$E$22:$E$421,"男",宿泊者名簿!$Y$22:$Y$421,7,宿泊者名簿!$M$22:$M$421,TRUE,宿泊者名簿!$R$22:$R$421,FALSE)</f>
        <v>0</v>
      </c>
      <c r="K45" s="1146" t="s">
        <v>47</v>
      </c>
      <c r="L45" s="1154" t="s">
        <v>382</v>
      </c>
      <c r="M45" s="1145" t="s">
        <v>45</v>
      </c>
      <c r="N45" s="1145">
        <f>COUNTIFS(宿泊者名簿!$Z$22:$Z$421,3,宿泊者名簿!$E$22:$E$421,"男",宿泊者名簿!$Y$22:$Y$421,6,宿泊者名簿!$M$22:$M$421,TRUE,宿泊者名簿!$R$22:$R$421,TRUE)+COUNTIFS(宿泊者名簿!$Z$22:$Z$421,3,宿泊者名簿!$E$22:$E$421,"男",宿泊者名簿!$Y$22:$Y$421,7,宿泊者名簿!$M$22:$M$421,TRUE,宿泊者名簿!$R$22:$R$421,TRUE)</f>
        <v>0</v>
      </c>
      <c r="O45" s="1146" t="s">
        <v>47</v>
      </c>
      <c r="P45" s="1154" t="s">
        <v>382</v>
      </c>
      <c r="Q45" s="1145" t="s">
        <v>45</v>
      </c>
      <c r="R45" s="1145">
        <f t="shared" si="3"/>
        <v>0</v>
      </c>
      <c r="S45" s="1146" t="s">
        <v>47</v>
      </c>
    </row>
    <row r="46" spans="1:19" ht="29.25" thickBot="1">
      <c r="A46" s="468"/>
      <c r="B46" s="373"/>
      <c r="C46" s="374"/>
      <c r="D46" s="1150">
        <f>SUM(F45:F46)</f>
        <v>0</v>
      </c>
      <c r="E46" s="1148" t="s">
        <v>46</v>
      </c>
      <c r="F46" s="1148">
        <f>COUNTIFS(宿泊者名簿!$Z$22:$Z$421,3,宿泊者名簿!$E$22:$E$421,"女",宿泊者名簿!$Y$22:$Y$421,5,宿泊者名簿!$M$22:$M$421,TRUE)</f>
        <v>0</v>
      </c>
      <c r="G46" s="1149" t="s">
        <v>47</v>
      </c>
      <c r="H46" s="1150">
        <f>SUM(J45:J46)</f>
        <v>0</v>
      </c>
      <c r="I46" s="1148" t="s">
        <v>46</v>
      </c>
      <c r="J46" s="1148">
        <f>COUNTIFS(宿泊者名簿!$Z$22:$Z$421,3,宿泊者名簿!$E$22:$E$421,"女",宿泊者名簿!$Y$22:$Y$421,6,宿泊者名簿!$M$22:$M$421,TRUE,宿泊者名簿!$R$22:$R$421,FALSE)+COUNTIFS(宿泊者名簿!$Z$22:$Z$421,3,宿泊者名簿!$E$22:$E$421,"女",宿泊者名簿!$Y$22:$Y$421,7,宿泊者名簿!$M$22:$M$421,TRUE,宿泊者名簿!$R$22:$R$421,FALSE)</f>
        <v>0</v>
      </c>
      <c r="K46" s="1149" t="s">
        <v>47</v>
      </c>
      <c r="L46" s="1150">
        <f>SUM(N45:N46)</f>
        <v>0</v>
      </c>
      <c r="M46" s="1148" t="s">
        <v>46</v>
      </c>
      <c r="N46" s="1148">
        <f>COUNTIFS(宿泊者名簿!$Z$22:$Z$421,3,宿泊者名簿!$E$22:$E$421,"女",宿泊者名簿!$Y$22:$Y$421,6,宿泊者名簿!$M$22:$M$421,TRUE,宿泊者名簿!$R$22:$R$421,TRUE)+COUNTIFS(宿泊者名簿!$Z$22:$Z$421,3,宿泊者名簿!$E$22:$E$421,"女",宿泊者名簿!$Y$22:$Y$421,7,宿泊者名簿!$M$22:$M$421,TRUE,宿泊者名簿!$R$22:$R$421,TRUE)</f>
        <v>0</v>
      </c>
      <c r="O46" s="1149" t="s">
        <v>47</v>
      </c>
      <c r="P46" s="1150">
        <f>SUM(R45:R46)</f>
        <v>0</v>
      </c>
      <c r="Q46" s="1148" t="s">
        <v>46</v>
      </c>
      <c r="R46" s="1148">
        <f t="shared" si="3"/>
        <v>0</v>
      </c>
      <c r="S46" s="1149" t="s">
        <v>47</v>
      </c>
    </row>
    <row r="47" spans="1:19" ht="21.75" thickBot="1">
      <c r="D47" s="1151"/>
      <c r="E47" s="1152"/>
      <c r="F47" s="1152"/>
      <c r="G47" s="1152"/>
      <c r="H47" s="1151"/>
      <c r="I47" s="1152"/>
      <c r="J47" s="1152"/>
      <c r="K47" s="1152"/>
      <c r="L47" s="1151"/>
      <c r="M47" s="1152"/>
      <c r="N47" s="1152"/>
      <c r="O47" s="1152"/>
      <c r="P47" s="1151"/>
      <c r="Q47" s="1152"/>
      <c r="R47" s="1152"/>
      <c r="S47" s="1152"/>
    </row>
    <row r="48" spans="1:19" ht="28.5">
      <c r="A48" s="481" t="s">
        <v>388</v>
      </c>
      <c r="B48" s="370"/>
      <c r="C48" s="371"/>
      <c r="D48" s="1142" t="s">
        <v>43</v>
      </c>
      <c r="E48" s="1143" t="s">
        <v>45</v>
      </c>
      <c r="F48" s="1143">
        <f>COUNTIFS(宿泊者名簿!$Z$22:$Z$421,4,宿泊者名簿!$E$22:$E$421,"男",宿泊者名簿!$Y$22:$Y$421,1,宿泊者名簿!$M$22:$M$421,FALSE)</f>
        <v>0</v>
      </c>
      <c r="G48" s="1144" t="s">
        <v>47</v>
      </c>
      <c r="H48" s="1153" t="s">
        <v>131</v>
      </c>
      <c r="I48" s="1143" t="s">
        <v>45</v>
      </c>
      <c r="J48" s="1143">
        <f>COUNTIFS(宿泊者名簿!$Z$22:$Z$421,4,宿泊者名簿!$E$22:$E$421,"男",宿泊者名簿!$Y$22:$Y$421,2,宿泊者名簿!$M$22:$M$421,FALSE)</f>
        <v>0</v>
      </c>
      <c r="K48" s="1144" t="s">
        <v>47</v>
      </c>
      <c r="L48" s="1153" t="s">
        <v>132</v>
      </c>
      <c r="M48" s="1143" t="s">
        <v>45</v>
      </c>
      <c r="N48" s="1143">
        <f>COUNTIFS(宿泊者名簿!$Z$22:$Z$421,4,宿泊者名簿!$E$22:$E$421,"男",宿泊者名簿!$Y$22:$Y$421,3,宿泊者名簿!$M$22:$M$421,FALSE)</f>
        <v>0</v>
      </c>
      <c r="O48" s="1144" t="s">
        <v>47</v>
      </c>
      <c r="P48" s="1153" t="s">
        <v>44</v>
      </c>
      <c r="Q48" s="1143" t="s">
        <v>45</v>
      </c>
      <c r="R48" s="1143">
        <f>COUNTIFS(宿泊者名簿!$Z$22:$Z$421,4,宿泊者名簿!$E$22:$E$421,"男",宿泊者名簿!$Y$22:$Y$421,4,宿泊者名簿!$M$22:$M$421,FALSE)</f>
        <v>0</v>
      </c>
      <c r="S48" s="1144" t="s">
        <v>47</v>
      </c>
    </row>
    <row r="49" spans="1:19" ht="28.5">
      <c r="A49" s="482"/>
      <c r="B49" s="469"/>
      <c r="C49" s="375"/>
      <c r="D49" s="1141">
        <f>SUM(F48:F49)</f>
        <v>0</v>
      </c>
      <c r="E49" s="1145" t="s">
        <v>46</v>
      </c>
      <c r="F49" s="1145">
        <f>COUNTIFS(宿泊者名簿!$Z$22:$Z$421,4,宿泊者名簿!$E$22:$E$421,"女",宿泊者名簿!$Y$22:$Y$421,1,宿泊者名簿!$M$22:$M$421,FALSE)</f>
        <v>0</v>
      </c>
      <c r="G49" s="1146" t="s">
        <v>47</v>
      </c>
      <c r="H49" s="1141">
        <f>SUM(J48:J49)</f>
        <v>0</v>
      </c>
      <c r="I49" s="1145" t="s">
        <v>46</v>
      </c>
      <c r="J49" s="1145">
        <f>COUNTIFS(宿泊者名簿!$Z$22:$Z$421,4,宿泊者名簿!$E$22:$E$421,"女",宿泊者名簿!$Y$22:$Y$421,2,宿泊者名簿!$M$22:$M$421,FALSE)</f>
        <v>0</v>
      </c>
      <c r="K49" s="1146" t="s">
        <v>47</v>
      </c>
      <c r="L49" s="1141">
        <f>SUM(N48:N49)</f>
        <v>0</v>
      </c>
      <c r="M49" s="1145" t="s">
        <v>46</v>
      </c>
      <c r="N49" s="1145">
        <f>COUNTIFS(宿泊者名簿!$Z$22:$Z$421,4,宿泊者名簿!$E$22:$E$421,"女",宿泊者名簿!$Y$22:$Y$421,3,宿泊者名簿!$M$22:$M$421,FALSE)</f>
        <v>0</v>
      </c>
      <c r="O49" s="1146" t="s">
        <v>47</v>
      </c>
      <c r="P49" s="1141">
        <f>SUM(R48:R49)</f>
        <v>0</v>
      </c>
      <c r="Q49" s="1145" t="s">
        <v>46</v>
      </c>
      <c r="R49" s="1145">
        <f>COUNTIFS(宿泊者名簿!$Z$22:$Z$421,4,宿泊者名簿!$E$22:$E$421,"女",宿泊者名簿!$Y$22:$Y$421,4,宿泊者名簿!$M$22:$M$421,FALSE)</f>
        <v>0</v>
      </c>
      <c r="S49" s="1146" t="s">
        <v>47</v>
      </c>
    </row>
    <row r="50" spans="1:19" ht="28.5">
      <c r="A50" s="482"/>
      <c r="B50" s="469"/>
      <c r="C50" s="375"/>
      <c r="D50" s="1147" t="s">
        <v>382</v>
      </c>
      <c r="E50" s="1145" t="s">
        <v>45</v>
      </c>
      <c r="F50" s="1145">
        <f>COUNTIFS(宿泊者名簿!$Z$22:$Z$421,4,宿泊者名簿!$E$22:$E$421,"男",宿泊者名簿!$Y$22:$Y$421,1,宿泊者名簿!$M$22:$M$421,TRUE)</f>
        <v>0</v>
      </c>
      <c r="G50" s="1146" t="s">
        <v>47</v>
      </c>
      <c r="H50" s="1154" t="s">
        <v>382</v>
      </c>
      <c r="I50" s="1145" t="s">
        <v>45</v>
      </c>
      <c r="J50" s="1145">
        <f>COUNTIFS(宿泊者名簿!$Z$22:$Z$421,4,宿泊者名簿!$E$22:$E$421,"男",宿泊者名簿!$Y$22:$Y$421,2,宿泊者名簿!$M$22:$M$421,TRUE)</f>
        <v>0</v>
      </c>
      <c r="K50" s="1146" t="s">
        <v>47</v>
      </c>
      <c r="L50" s="1154" t="s">
        <v>382</v>
      </c>
      <c r="M50" s="1145" t="s">
        <v>45</v>
      </c>
      <c r="N50" s="1145">
        <f>COUNTIFS(宿泊者名簿!$Z$22:$Z$421,4,宿泊者名簿!$E$22:$E$421,"男",宿泊者名簿!$Y$22:$Y$421,3,宿泊者名簿!$M$22:$M$421,TRUE)</f>
        <v>0</v>
      </c>
      <c r="O50" s="1146" t="s">
        <v>47</v>
      </c>
      <c r="P50" s="1154" t="s">
        <v>382</v>
      </c>
      <c r="Q50" s="1145" t="s">
        <v>45</v>
      </c>
      <c r="R50" s="1145">
        <f>COUNTIFS(宿泊者名簿!$Z$22:$Z$421,4,宿泊者名簿!$E$22:$E$421,"男",宿泊者名簿!$Y$22:$Y$421,4,宿泊者名簿!$M$22:$M$421,TRUE)</f>
        <v>0</v>
      </c>
      <c r="S50" s="1146" t="s">
        <v>47</v>
      </c>
    </row>
    <row r="51" spans="1:19" ht="29.25" thickBot="1">
      <c r="A51" s="372"/>
      <c r="B51" s="373"/>
      <c r="C51" s="374"/>
      <c r="D51" s="1141">
        <f>SUM(F50:F51)</f>
        <v>0</v>
      </c>
      <c r="E51" s="1148" t="s">
        <v>46</v>
      </c>
      <c r="F51" s="1148">
        <f>COUNTIFS(宿泊者名簿!$Z$22:$Z$421,4,宿泊者名簿!$E$22:$E$421,"女",宿泊者名簿!$Y$22:$Y$421,1,宿泊者名簿!$M$22:$M$421,TRUE)</f>
        <v>0</v>
      </c>
      <c r="G51" s="1149" t="s">
        <v>47</v>
      </c>
      <c r="H51" s="1141">
        <f>SUM(J50:J51)</f>
        <v>0</v>
      </c>
      <c r="I51" s="1148" t="s">
        <v>46</v>
      </c>
      <c r="J51" s="1148">
        <f>COUNTIFS(宿泊者名簿!$Z$22:$Z$421,4,宿泊者名簿!$E$22:$E$421,"女",宿泊者名簿!$Y$22:$Y$421,2,宿泊者名簿!$M$22:$M$421,TRUE)</f>
        <v>0</v>
      </c>
      <c r="K51" s="1149" t="s">
        <v>47</v>
      </c>
      <c r="L51" s="1141">
        <f>SUM(N50:N51)</f>
        <v>0</v>
      </c>
      <c r="M51" s="1148" t="s">
        <v>46</v>
      </c>
      <c r="N51" s="1148">
        <f>COUNTIFS(宿泊者名簿!$Z$22:$Z$421,4,宿泊者名簿!$E$22:$E$421,"女",宿泊者名簿!$Y$22:$Y$421,3,宿泊者名簿!$M$22:$M$421,TRUE)</f>
        <v>0</v>
      </c>
      <c r="O51" s="1149" t="s">
        <v>47</v>
      </c>
      <c r="P51" s="1141">
        <f>SUM(R50:R51)</f>
        <v>0</v>
      </c>
      <c r="Q51" s="1148" t="s">
        <v>46</v>
      </c>
      <c r="R51" s="1148">
        <f>COUNTIFS(宿泊者名簿!$Z$22:$Z$421,4,宿泊者名簿!$E$22:$E$421,"女",宿泊者名簿!$Y$22:$Y$421,4,宿泊者名簿!$M$22:$M$421,TRUE)</f>
        <v>0</v>
      </c>
      <c r="S51" s="1149" t="s">
        <v>47</v>
      </c>
    </row>
    <row r="52" spans="1:19" ht="28.5">
      <c r="A52" s="467" t="s">
        <v>135</v>
      </c>
      <c r="B52" s="469">
        <f>SUM(F48:F55,J48:J55,N48:N55,R48:R51)</f>
        <v>0</v>
      </c>
      <c r="C52" s="375" t="s">
        <v>47</v>
      </c>
      <c r="D52" s="1142" t="s">
        <v>134</v>
      </c>
      <c r="E52" s="1143" t="s">
        <v>45</v>
      </c>
      <c r="F52" s="1143">
        <f>COUNTIFS(宿泊者名簿!$Z$22:$Z$421,4,宿泊者名簿!$E$22:$E$421,"男",宿泊者名簿!$Y$22:$Y$421,5,宿泊者名簿!$M$22:$M$421,FALSE)</f>
        <v>0</v>
      </c>
      <c r="G52" s="1144" t="s">
        <v>47</v>
      </c>
      <c r="H52" s="1153" t="s">
        <v>282</v>
      </c>
      <c r="I52" s="1143" t="s">
        <v>45</v>
      </c>
      <c r="J52" s="1143">
        <f>COUNTIFS(宿泊者名簿!$Z$22:$Z$421,4,宿泊者名簿!$E$22:$E$421,"男",宿泊者名簿!$Y$22:$Y$421,6,宿泊者名簿!$M$22:$M$421,FALSE,宿泊者名簿!$R$22:$R$421,FALSE)+COUNTIFS(宿泊者名簿!$Z$22:$Z$421,4,宿泊者名簿!$E$22:$E$421,"男",宿泊者名簿!$Y$22:$Y$421,7,宿泊者名簿!$M$22:$M$421,FALSE,宿泊者名簿!$R$22:$R$421,FALSE)</f>
        <v>0</v>
      </c>
      <c r="K52" s="1144" t="s">
        <v>47</v>
      </c>
      <c r="L52" s="1153" t="s">
        <v>383</v>
      </c>
      <c r="M52" s="1143" t="s">
        <v>45</v>
      </c>
      <c r="N52" s="1143">
        <f>COUNTIFS(宿泊者名簿!$Z$22:$Z$421,4,宿泊者名簿!$E$22:$E$421,"男",宿泊者名簿!$Y$22:$Y$421,6,宿泊者名簿!$M$22:$M$421,FALSE,宿泊者名簿!$R$22:$R$421,TRUE)+COUNTIFS(宿泊者名簿!$Z$22:$Z$421,4,宿泊者名簿!$E$22:$E$421,"男",宿泊者名簿!$Y$22:$Y$421,7,宿泊者名簿!$M$22:$M$421,FALSE,宿泊者名簿!$R$22:$R$421,TRUE)</f>
        <v>0</v>
      </c>
      <c r="O52" s="1144" t="s">
        <v>47</v>
      </c>
      <c r="P52" s="1153" t="s">
        <v>287</v>
      </c>
      <c r="Q52" s="1143" t="s">
        <v>136</v>
      </c>
      <c r="R52" s="1143">
        <f t="shared" ref="R52:R55" si="4">SUM(F48,J48,N48,R48,F52,J52,N52)</f>
        <v>0</v>
      </c>
      <c r="S52" s="1144" t="s">
        <v>47</v>
      </c>
    </row>
    <row r="53" spans="1:19" ht="28.5">
      <c r="A53" s="467"/>
      <c r="B53" s="469"/>
      <c r="C53" s="375"/>
      <c r="D53" s="1141">
        <f>SUM(F52:F53)</f>
        <v>0</v>
      </c>
      <c r="E53" s="1145" t="s">
        <v>46</v>
      </c>
      <c r="F53" s="1145">
        <f>COUNTIFS(宿泊者名簿!$Z$22:$Z$421,4,宿泊者名簿!$E$22:$E$421,"女",宿泊者名簿!$Y$22:$Y$421,5,宿泊者名簿!$M$22:$M$421,FALSE)</f>
        <v>0</v>
      </c>
      <c r="G53" s="1146" t="s">
        <v>47</v>
      </c>
      <c r="H53" s="1141">
        <f>SUM(J52:J53)</f>
        <v>0</v>
      </c>
      <c r="I53" s="1145" t="s">
        <v>46</v>
      </c>
      <c r="J53" s="1145">
        <f>COUNTIFS(宿泊者名簿!$Z$22:$Z$421,4,宿泊者名簿!$E$22:$E$421,"女",宿泊者名簿!$Y$22:$Y$421,6,宿泊者名簿!$M$22:$M$421,FALSE,宿泊者名簿!$R$22:$R$421,FALSE)+COUNTIFS(宿泊者名簿!$Z$22:$Z$421,4,宿泊者名簿!$E$22:$E$421,"女",宿泊者名簿!$Y$22:$Y$421,7,宿泊者名簿!$M$22:$M$421,FALSE,宿泊者名簿!$R$22:$R$421,FALSE)</f>
        <v>0</v>
      </c>
      <c r="K53" s="1146" t="s">
        <v>47</v>
      </c>
      <c r="L53" s="1141">
        <f>SUM(N52:N53)</f>
        <v>0</v>
      </c>
      <c r="M53" s="1145" t="s">
        <v>46</v>
      </c>
      <c r="N53" s="1145">
        <f>COUNTIFS(宿泊者名簿!$Z$22:$Z$421,4,宿泊者名簿!$E$22:$E$421,"女",宿泊者名簿!$Y$22:$Y$421,6,宿泊者名簿!$M$22:$M$421,FALSE,宿泊者名簿!$R$22:$R$421,TRUE)+COUNTIFS(宿泊者名簿!$Z$22:$Z$421,4,宿泊者名簿!$E$22:$E$421,"女",宿泊者名簿!$Y$22:$Y$421,7,宿泊者名簿!$M$22:$M$421,FALSE,宿泊者名簿!$R$22:$R$421,TRUE)</f>
        <v>0</v>
      </c>
      <c r="O53" s="1146" t="s">
        <v>47</v>
      </c>
      <c r="P53" s="1141">
        <f>SUM(R52:R53)</f>
        <v>0</v>
      </c>
      <c r="Q53" s="1145" t="s">
        <v>46</v>
      </c>
      <c r="R53" s="1145">
        <f t="shared" si="4"/>
        <v>0</v>
      </c>
      <c r="S53" s="1146" t="s">
        <v>47</v>
      </c>
    </row>
    <row r="54" spans="1:19" ht="28.5">
      <c r="A54" s="467"/>
      <c r="B54" s="469"/>
      <c r="C54" s="375"/>
      <c r="D54" s="1147" t="s">
        <v>382</v>
      </c>
      <c r="E54" s="1145" t="s">
        <v>45</v>
      </c>
      <c r="F54" s="1145">
        <f>COUNTIFS(宿泊者名簿!$Z$22:$Z$421,4,宿泊者名簿!$E$22:$E$421,"男",宿泊者名簿!$Y$22:$Y$421,5,宿泊者名簿!$M$22:$M$421,TRUE)</f>
        <v>0</v>
      </c>
      <c r="G54" s="1146" t="s">
        <v>47</v>
      </c>
      <c r="H54" s="1154" t="s">
        <v>382</v>
      </c>
      <c r="I54" s="1145" t="s">
        <v>45</v>
      </c>
      <c r="J54" s="1145">
        <f>COUNTIFS(宿泊者名簿!$Z$22:$Z$421,4,宿泊者名簿!$E$22:$E$421,"男",宿泊者名簿!$Y$22:$Y$421,6,宿泊者名簿!$M$22:$M$421,TRUE,宿泊者名簿!$R$22:$R$421,FALSE)+COUNTIFS(宿泊者名簿!$Z$22:$Z$421,4,宿泊者名簿!$E$22:$E$421,"男",宿泊者名簿!$Y$22:$Y$421,7,宿泊者名簿!$M$22:$M$421,TRUE,宿泊者名簿!$R$22:$R$421,FALSE)</f>
        <v>0</v>
      </c>
      <c r="K54" s="1146" t="s">
        <v>47</v>
      </c>
      <c r="L54" s="1154" t="s">
        <v>382</v>
      </c>
      <c r="M54" s="1145" t="s">
        <v>45</v>
      </c>
      <c r="N54" s="1145">
        <f>COUNTIFS(宿泊者名簿!$Z$22:$Z$421,4,宿泊者名簿!$E$22:$E$421,"男",宿泊者名簿!$Y$22:$Y$421,6,宿泊者名簿!$M$22:$M$421,TRUE,宿泊者名簿!$R$22:$R$421,TRUE)+COUNTIFS(宿泊者名簿!$Z$22:$Z$421,4,宿泊者名簿!$E$22:$E$421,"男",宿泊者名簿!$Y$22:$Y$421,7,宿泊者名簿!$M$22:$M$421,TRUE,宿泊者名簿!$R$22:$R$421,TRUE)</f>
        <v>0</v>
      </c>
      <c r="O54" s="1146" t="s">
        <v>47</v>
      </c>
      <c r="P54" s="1154" t="s">
        <v>382</v>
      </c>
      <c r="Q54" s="1145" t="s">
        <v>45</v>
      </c>
      <c r="R54" s="1145">
        <f t="shared" si="4"/>
        <v>0</v>
      </c>
      <c r="S54" s="1146" t="s">
        <v>47</v>
      </c>
    </row>
    <row r="55" spans="1:19" ht="29.25" thickBot="1">
      <c r="A55" s="468"/>
      <c r="B55" s="373"/>
      <c r="C55" s="374"/>
      <c r="D55" s="1150">
        <f>SUM(F54:F55)</f>
        <v>0</v>
      </c>
      <c r="E55" s="1148" t="s">
        <v>46</v>
      </c>
      <c r="F55" s="1148">
        <f>COUNTIFS(宿泊者名簿!$Z$22:$Z$421,4,宿泊者名簿!$E$22:$E$421,"女",宿泊者名簿!$Y$22:$Y$421,5,宿泊者名簿!$M$22:$M$421,TRUE)</f>
        <v>0</v>
      </c>
      <c r="G55" s="1149" t="s">
        <v>47</v>
      </c>
      <c r="H55" s="1150">
        <f>SUM(J54:J55)</f>
        <v>0</v>
      </c>
      <c r="I55" s="1148" t="s">
        <v>46</v>
      </c>
      <c r="J55" s="1148">
        <f>COUNTIFS(宿泊者名簿!$Z$22:$Z$421,4,宿泊者名簿!$E$22:$E$421,"女",宿泊者名簿!$Y$22:$Y$421,6,宿泊者名簿!$M$22:$M$421,TRUE,宿泊者名簿!$R$22:$R$421,FALSE)+COUNTIFS(宿泊者名簿!$Z$22:$Z$421,4,宿泊者名簿!$E$22:$E$421,"女",宿泊者名簿!$Y$22:$Y$421,7,宿泊者名簿!$M$22:$M$421,TRUE,宿泊者名簿!$R$22:$R$421,FALSE)</f>
        <v>0</v>
      </c>
      <c r="K55" s="1149" t="s">
        <v>47</v>
      </c>
      <c r="L55" s="1150">
        <f>SUM(N54:N55)</f>
        <v>0</v>
      </c>
      <c r="M55" s="1148" t="s">
        <v>46</v>
      </c>
      <c r="N55" s="1148">
        <f>COUNTIFS(宿泊者名簿!$Z$22:$Z$421,4,宿泊者名簿!$E$22:$E$421,"女",宿泊者名簿!$Y$22:$Y$421,6,宿泊者名簿!$M$22:$M$421,TRUE,宿泊者名簿!$R$22:$R$421,TRUE)+COUNTIFS(宿泊者名簿!$Z$22:$Z$421,4,宿泊者名簿!$E$22:$E$421,"女",宿泊者名簿!$Y$22:$Y$421,7,宿泊者名簿!$M$22:$M$421,TRUE,宿泊者名簿!$R$22:$R$421,TRUE)</f>
        <v>0</v>
      </c>
      <c r="O55" s="1149" t="s">
        <v>47</v>
      </c>
      <c r="P55" s="1150">
        <f>SUM(R54:R55)</f>
        <v>0</v>
      </c>
      <c r="Q55" s="1148" t="s">
        <v>46</v>
      </c>
      <c r="R55" s="1148">
        <f t="shared" si="4"/>
        <v>0</v>
      </c>
      <c r="S55" s="1149" t="s">
        <v>47</v>
      </c>
    </row>
  </sheetData>
  <mergeCells count="59">
    <mergeCell ref="P2:R2"/>
    <mergeCell ref="A4:H4"/>
    <mergeCell ref="L4:L6"/>
    <mergeCell ref="M4:M6"/>
    <mergeCell ref="N4:N6"/>
    <mergeCell ref="A5:H5"/>
    <mergeCell ref="A6:C6"/>
    <mergeCell ref="D6:G6"/>
    <mergeCell ref="I6:K6"/>
    <mergeCell ref="A1:F2"/>
    <mergeCell ref="H1:K1"/>
    <mergeCell ref="M1:O1"/>
    <mergeCell ref="H2:K2"/>
    <mergeCell ref="M2:O2"/>
    <mergeCell ref="N7:N8"/>
    <mergeCell ref="O7:O8"/>
    <mergeCell ref="P7:P8"/>
    <mergeCell ref="Q7:Q8"/>
    <mergeCell ref="R7:R8"/>
    <mergeCell ref="S7:S8"/>
    <mergeCell ref="A7:C7"/>
    <mergeCell ref="D7:G7"/>
    <mergeCell ref="H7:H8"/>
    <mergeCell ref="I7:K8"/>
    <mergeCell ref="L7:L8"/>
    <mergeCell ref="M7:M8"/>
    <mergeCell ref="A8:C8"/>
    <mergeCell ref="D8:G8"/>
    <mergeCell ref="A9:C9"/>
    <mergeCell ref="D9:G9"/>
    <mergeCell ref="I9:S9"/>
    <mergeCell ref="A10:C10"/>
    <mergeCell ref="D10:G10"/>
    <mergeCell ref="H10:I10"/>
    <mergeCell ref="J10:K10"/>
    <mergeCell ref="L10:M10"/>
    <mergeCell ref="N10:O10"/>
    <mergeCell ref="P10:Q10"/>
    <mergeCell ref="A16:A19"/>
    <mergeCell ref="B16:B19"/>
    <mergeCell ref="C16:C19"/>
    <mergeCell ref="R10:S10"/>
    <mergeCell ref="A12:C15"/>
    <mergeCell ref="A21:C24"/>
    <mergeCell ref="A25:A28"/>
    <mergeCell ref="B25:B28"/>
    <mergeCell ref="C25:C28"/>
    <mergeCell ref="A30:C33"/>
    <mergeCell ref="A34:A37"/>
    <mergeCell ref="B34:B37"/>
    <mergeCell ref="C34:C37"/>
    <mergeCell ref="A39:C42"/>
    <mergeCell ref="A43:A46"/>
    <mergeCell ref="B43:B46"/>
    <mergeCell ref="C43:C46"/>
    <mergeCell ref="A48:C51"/>
    <mergeCell ref="A52:A55"/>
    <mergeCell ref="B52:B55"/>
    <mergeCell ref="C52:C55"/>
  </mergeCells>
  <phoneticPr fontId="1"/>
  <conditionalFormatting sqref="J5:K5 J10:S10">
    <cfRule type="containsBlanks" dxfId="104" priority="2">
      <formula>LEN(TRIM(J5))=0</formula>
    </cfRule>
  </conditionalFormatting>
  <conditionalFormatting sqref="P4 R4 M4:M8 A5:I5 I6:K8 D6:G10 I9:S9">
    <cfRule type="containsBlanks" dxfId="103" priority="1">
      <formula>LEN(TRIM(A4))=0</formula>
    </cfRule>
  </conditionalFormatting>
  <printOptions horizontalCentered="1" verticalCentered="1"/>
  <pageMargins left="0.23622047244094491" right="0.23622047244094491" top="0.74803149606299213" bottom="0.7480314960629921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dimension ref="A1:CI66"/>
  <sheetViews>
    <sheetView showGridLines="0" showZeros="0" view="pageBreakPreview" zoomScale="70" zoomScaleNormal="70" zoomScaleSheetLayoutView="70" workbookViewId="0">
      <selection activeCell="L50" sqref="L50:N50"/>
    </sheetView>
  </sheetViews>
  <sheetFormatPr defaultColWidth="2.25" defaultRowHeight="14.25"/>
  <cols>
    <col min="1" max="1" width="7.25" style="29" customWidth="1"/>
    <col min="2" max="8" width="4.25" style="29" customWidth="1"/>
    <col min="9" max="38" width="3.5" style="29" customWidth="1"/>
    <col min="39" max="40" width="2.875" style="29" customWidth="1"/>
    <col min="41" max="41" width="6.375" style="29" customWidth="1"/>
    <col min="42" max="44" width="3.25" style="29" customWidth="1"/>
    <col min="45" max="48" width="4.25" style="29" customWidth="1"/>
    <col min="49" max="78" width="3.5" style="29" customWidth="1"/>
    <col min="79" max="80" width="2.25" style="29"/>
    <col min="81" max="81" width="4.5" style="29" customWidth="1"/>
    <col min="82" max="82" width="9.375" style="29" bestFit="1" customWidth="1"/>
    <col min="83" max="83" width="48.5" style="29" customWidth="1"/>
    <col min="84" max="87" width="14.375" style="29" customWidth="1"/>
    <col min="88" max="108" width="4.125" style="29" customWidth="1"/>
    <col min="109" max="16384" width="2.25" style="29"/>
  </cols>
  <sheetData>
    <row r="1" spans="1:87" ht="33" customHeight="1">
      <c r="A1" s="760" t="s">
        <v>126</v>
      </c>
      <c r="B1" s="760"/>
      <c r="C1" s="760"/>
      <c r="D1" s="760"/>
      <c r="E1" s="760"/>
      <c r="F1" s="760"/>
      <c r="G1" s="760"/>
      <c r="H1" s="760"/>
      <c r="I1" s="760"/>
      <c r="J1" s="760"/>
      <c r="K1" s="760"/>
      <c r="L1" s="760"/>
      <c r="M1" s="760"/>
      <c r="N1" s="760"/>
      <c r="P1" s="337" t="s">
        <v>314</v>
      </c>
      <c r="Q1" s="761">
        <f>AQ3</f>
        <v>0</v>
      </c>
      <c r="R1" s="761"/>
      <c r="S1" s="761"/>
      <c r="T1" s="761"/>
      <c r="U1" s="761"/>
      <c r="V1" s="761"/>
      <c r="W1" s="761"/>
      <c r="X1" s="761"/>
      <c r="Y1" s="761"/>
      <c r="Z1" s="761"/>
      <c r="AA1" s="761"/>
      <c r="AB1" s="761"/>
      <c r="AC1" s="761"/>
      <c r="AD1" s="761"/>
      <c r="AE1" s="761"/>
      <c r="AF1" s="761"/>
      <c r="AG1" s="761"/>
      <c r="AH1" s="761"/>
      <c r="AI1" s="761"/>
      <c r="AJ1" s="761"/>
      <c r="AK1" s="761"/>
      <c r="AL1" s="761"/>
      <c r="AM1" s="28"/>
      <c r="AN1" s="28"/>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row>
    <row r="2" spans="1:87" ht="6" customHeight="1" thickBot="1">
      <c r="A2" s="760"/>
      <c r="B2" s="760"/>
      <c r="C2" s="760"/>
      <c r="D2" s="760"/>
      <c r="E2" s="760"/>
      <c r="F2" s="760"/>
      <c r="G2" s="760"/>
      <c r="H2" s="760"/>
      <c r="I2" s="760"/>
      <c r="J2" s="760"/>
      <c r="K2" s="760"/>
      <c r="L2" s="760"/>
      <c r="M2" s="760"/>
      <c r="N2" s="760"/>
      <c r="O2" s="30"/>
      <c r="P2" s="30"/>
      <c r="Q2" s="30"/>
      <c r="R2" s="30"/>
      <c r="S2" s="30"/>
      <c r="T2" s="30"/>
      <c r="U2" s="30"/>
      <c r="V2" s="30"/>
      <c r="W2" s="30"/>
      <c r="X2" s="31"/>
      <c r="Y2" s="31"/>
      <c r="AL2" s="32"/>
      <c r="AM2" s="32"/>
      <c r="AN2" s="32"/>
    </row>
    <row r="3" spans="1:87" ht="16.149999999999999" customHeight="1" thickTop="1">
      <c r="A3" s="760"/>
      <c r="B3" s="760"/>
      <c r="C3" s="760"/>
      <c r="D3" s="760"/>
      <c r="E3" s="760"/>
      <c r="F3" s="760"/>
      <c r="G3" s="760"/>
      <c r="H3" s="760"/>
      <c r="I3" s="760"/>
      <c r="J3" s="760"/>
      <c r="K3" s="760"/>
      <c r="L3" s="760"/>
      <c r="M3" s="760"/>
      <c r="N3" s="760"/>
      <c r="O3" s="30"/>
      <c r="P3" s="30"/>
      <c r="Q3" s="30"/>
      <c r="R3" s="30"/>
      <c r="S3" s="30"/>
      <c r="T3" s="30"/>
      <c r="U3" s="30"/>
      <c r="V3" s="30"/>
      <c r="W3" s="30"/>
      <c r="Y3" s="762" t="s">
        <v>78</v>
      </c>
      <c r="Z3" s="763"/>
      <c r="AA3" s="763"/>
      <c r="AB3" s="763"/>
      <c r="AC3" s="763"/>
      <c r="AD3" s="763"/>
      <c r="AE3" s="763"/>
      <c r="AF3" s="763"/>
      <c r="AG3" s="763"/>
      <c r="AH3" s="763"/>
      <c r="AI3" s="763"/>
      <c r="AJ3" s="764"/>
      <c r="AK3" s="747"/>
      <c r="AL3" s="748"/>
      <c r="AM3" s="33"/>
      <c r="AN3" s="33"/>
      <c r="AO3" s="768" t="s">
        <v>81</v>
      </c>
      <c r="AP3" s="769"/>
      <c r="AQ3" s="727">
        <f>宿泊者名簿!A7</f>
        <v>0</v>
      </c>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28"/>
      <c r="BQ3" s="728"/>
      <c r="BR3" s="728"/>
      <c r="BS3" s="728"/>
      <c r="BT3" s="728"/>
      <c r="BU3" s="728"/>
      <c r="BV3" s="728"/>
      <c r="BW3" s="728"/>
      <c r="BX3" s="728"/>
      <c r="BY3" s="728"/>
      <c r="BZ3" s="729"/>
      <c r="CD3" s="706"/>
      <c r="CE3" s="706"/>
      <c r="CF3" s="706"/>
      <c r="CG3" s="706"/>
      <c r="CH3" s="706"/>
    </row>
    <row r="4" spans="1:87" ht="16.5" customHeight="1" thickBot="1">
      <c r="B4" s="336"/>
      <c r="C4" s="336"/>
      <c r="D4" s="336"/>
      <c r="E4" s="336"/>
      <c r="F4" s="336"/>
      <c r="G4" s="336"/>
      <c r="H4" s="336"/>
      <c r="I4" s="336"/>
      <c r="J4" s="336"/>
      <c r="K4" s="336"/>
      <c r="L4" s="336"/>
      <c r="M4" s="336"/>
      <c r="N4" s="336"/>
      <c r="O4" s="336"/>
      <c r="P4" s="336"/>
      <c r="Q4" s="336"/>
      <c r="R4" s="336"/>
      <c r="S4" s="336"/>
      <c r="T4" s="336"/>
      <c r="U4" s="336"/>
      <c r="V4" s="336"/>
      <c r="W4" s="336"/>
      <c r="X4" s="336"/>
      <c r="Y4" s="765"/>
      <c r="Z4" s="766"/>
      <c r="AA4" s="766"/>
      <c r="AB4" s="766"/>
      <c r="AC4" s="766"/>
      <c r="AD4" s="766"/>
      <c r="AE4" s="766"/>
      <c r="AF4" s="766"/>
      <c r="AG4" s="766"/>
      <c r="AH4" s="766"/>
      <c r="AI4" s="766"/>
      <c r="AJ4" s="767"/>
      <c r="AK4" s="749"/>
      <c r="AL4" s="750"/>
      <c r="AO4" s="770"/>
      <c r="AP4" s="771"/>
      <c r="AQ4" s="730"/>
      <c r="AR4" s="731"/>
      <c r="AS4" s="731"/>
      <c r="AT4" s="731"/>
      <c r="AU4" s="731"/>
      <c r="AV4" s="731"/>
      <c r="AW4" s="731"/>
      <c r="AX4" s="731"/>
      <c r="AY4" s="731"/>
      <c r="AZ4" s="731"/>
      <c r="BA4" s="731"/>
      <c r="BB4" s="731"/>
      <c r="BC4" s="731"/>
      <c r="BD4" s="731"/>
      <c r="BE4" s="731"/>
      <c r="BF4" s="731"/>
      <c r="BG4" s="731"/>
      <c r="BH4" s="731"/>
      <c r="BI4" s="731"/>
      <c r="BJ4" s="731"/>
      <c r="BK4" s="731"/>
      <c r="BL4" s="731"/>
      <c r="BM4" s="731"/>
      <c r="BN4" s="731"/>
      <c r="BO4" s="731"/>
      <c r="BP4" s="731"/>
      <c r="BQ4" s="731"/>
      <c r="BR4" s="731"/>
      <c r="BS4" s="731"/>
      <c r="BT4" s="731"/>
      <c r="BU4" s="731"/>
      <c r="BV4" s="731"/>
      <c r="BW4" s="731"/>
      <c r="BX4" s="731"/>
      <c r="BY4" s="731"/>
      <c r="BZ4" s="732"/>
      <c r="CD4" s="706"/>
      <c r="CE4" s="706"/>
      <c r="CF4" s="706"/>
      <c r="CG4" s="706"/>
      <c r="CH4" s="706"/>
    </row>
    <row r="5" spans="1:87" ht="27" customHeight="1" thickTop="1" thickBot="1">
      <c r="A5" s="777" t="s">
        <v>160</v>
      </c>
      <c r="B5" s="777"/>
      <c r="C5" s="777"/>
      <c r="D5" s="777"/>
      <c r="E5" s="777"/>
      <c r="F5" s="777"/>
      <c r="G5" s="777"/>
      <c r="H5" s="777"/>
      <c r="I5" s="777"/>
      <c r="J5" s="777"/>
      <c r="K5" s="777"/>
      <c r="L5" s="777"/>
      <c r="M5" s="777"/>
      <c r="N5" s="777"/>
      <c r="O5" s="777"/>
      <c r="P5" s="777"/>
      <c r="Q5" s="777"/>
      <c r="R5" s="777"/>
      <c r="S5" s="777"/>
      <c r="T5" s="777"/>
      <c r="U5" s="777"/>
      <c r="V5" s="777"/>
      <c r="W5" s="340"/>
      <c r="X5" s="340"/>
      <c r="Y5" s="592" t="s">
        <v>125</v>
      </c>
      <c r="Z5" s="592"/>
      <c r="AA5" s="592"/>
      <c r="AB5" s="592"/>
      <c r="AC5" s="592"/>
      <c r="AD5" s="592"/>
      <c r="AE5" s="592"/>
      <c r="AF5" s="592"/>
      <c r="AG5" s="592"/>
      <c r="AH5" s="592"/>
      <c r="AI5" s="592"/>
      <c r="AJ5" s="592"/>
      <c r="AK5" s="592"/>
      <c r="AL5" s="592"/>
      <c r="AO5" s="772" t="s">
        <v>288</v>
      </c>
      <c r="AP5" s="739" t="s">
        <v>43</v>
      </c>
      <c r="AQ5" s="184" t="s">
        <v>45</v>
      </c>
      <c r="AR5" s="737">
        <f>宿泊者名簿!F14</f>
        <v>0</v>
      </c>
      <c r="AS5" s="738"/>
      <c r="AT5" s="739" t="s">
        <v>131</v>
      </c>
      <c r="AU5" s="184" t="s">
        <v>45</v>
      </c>
      <c r="AV5" s="737">
        <f>宿泊者名簿!J14</f>
        <v>0</v>
      </c>
      <c r="AW5" s="738"/>
      <c r="AX5" s="739" t="s">
        <v>132</v>
      </c>
      <c r="AY5" s="184" t="s">
        <v>45</v>
      </c>
      <c r="AZ5" s="737">
        <f>宿泊者名簿!N14</f>
        <v>0</v>
      </c>
      <c r="BA5" s="738"/>
      <c r="BB5" s="739" t="s">
        <v>44</v>
      </c>
      <c r="BC5" s="184" t="s">
        <v>45</v>
      </c>
      <c r="BD5" s="737">
        <f>宿泊者名簿!R14</f>
        <v>0</v>
      </c>
      <c r="BE5" s="738"/>
      <c r="BF5" s="733" t="s">
        <v>83</v>
      </c>
      <c r="BG5" s="735">
        <f>SUM(AR5:AR8,AV5:AV8,AZ5:AZ8,BD5:BD6)</f>
        <v>0</v>
      </c>
      <c r="BH5" s="735"/>
      <c r="BI5" s="186"/>
      <c r="BJ5" s="717" t="s">
        <v>110</v>
      </c>
      <c r="BK5" s="718"/>
      <c r="BL5" s="718"/>
      <c r="BM5" s="719"/>
      <c r="BN5" s="723">
        <f>宿泊者名簿!D10</f>
        <v>0</v>
      </c>
      <c r="BO5" s="723"/>
      <c r="BP5" s="723"/>
      <c r="BQ5" s="723"/>
      <c r="BR5" s="723"/>
      <c r="BS5" s="723"/>
      <c r="BT5" s="723"/>
      <c r="BU5" s="723"/>
      <c r="BV5" s="723"/>
      <c r="BW5" s="723"/>
      <c r="BX5" s="723"/>
      <c r="BY5" s="723"/>
      <c r="BZ5" s="724"/>
      <c r="CD5" s="706"/>
      <c r="CE5" s="706"/>
      <c r="CF5" s="706"/>
      <c r="CG5" s="706"/>
      <c r="CH5" s="706"/>
    </row>
    <row r="6" spans="1:87" ht="27" customHeight="1" thickTop="1" thickBot="1">
      <c r="A6" s="778" t="s">
        <v>145</v>
      </c>
      <c r="B6" s="778"/>
      <c r="C6" s="778"/>
      <c r="D6" s="778"/>
      <c r="E6" s="778"/>
      <c r="F6" s="778"/>
      <c r="G6" s="778"/>
      <c r="H6" s="778"/>
      <c r="I6" s="778"/>
      <c r="J6" s="778"/>
      <c r="K6" s="778"/>
      <c r="L6" s="778"/>
      <c r="M6" s="778"/>
      <c r="N6" s="778"/>
      <c r="O6" s="778"/>
      <c r="P6" s="778"/>
      <c r="Q6" s="778"/>
      <c r="R6" s="778"/>
      <c r="S6" s="778"/>
      <c r="T6" s="778"/>
      <c r="U6" s="778"/>
      <c r="V6" s="778"/>
      <c r="W6" s="336"/>
      <c r="X6" s="336"/>
      <c r="Y6" s="751" t="s">
        <v>79</v>
      </c>
      <c r="Z6" s="752"/>
      <c r="AA6" s="752"/>
      <c r="AB6" s="752"/>
      <c r="AC6" s="752"/>
      <c r="AD6" s="752"/>
      <c r="AE6" s="752"/>
      <c r="AF6" s="752"/>
      <c r="AG6" s="752"/>
      <c r="AH6" s="752"/>
      <c r="AI6" s="752"/>
      <c r="AJ6" s="752"/>
      <c r="AK6" s="752"/>
      <c r="AL6" s="753"/>
      <c r="AM6" s="34"/>
      <c r="AN6" s="34"/>
      <c r="AO6" s="773"/>
      <c r="AP6" s="740"/>
      <c r="AQ6" s="163" t="s">
        <v>46</v>
      </c>
      <c r="AR6" s="743">
        <f>宿泊者名簿!F15</f>
        <v>0</v>
      </c>
      <c r="AS6" s="744"/>
      <c r="AT6" s="740"/>
      <c r="AU6" s="163" t="s">
        <v>46</v>
      </c>
      <c r="AV6" s="743">
        <f>宿泊者名簿!J15</f>
        <v>0</v>
      </c>
      <c r="AW6" s="744"/>
      <c r="AX6" s="740"/>
      <c r="AY6" s="163" t="s">
        <v>46</v>
      </c>
      <c r="AZ6" s="743">
        <f>宿泊者名簿!N15</f>
        <v>0</v>
      </c>
      <c r="BA6" s="744"/>
      <c r="BB6" s="740"/>
      <c r="BC6" s="163" t="s">
        <v>46</v>
      </c>
      <c r="BD6" s="743">
        <f>宿泊者名簿!R15</f>
        <v>0</v>
      </c>
      <c r="BE6" s="744"/>
      <c r="BF6" s="734"/>
      <c r="BG6" s="736"/>
      <c r="BH6" s="736"/>
      <c r="BI6" s="341" t="s">
        <v>82</v>
      </c>
      <c r="BJ6" s="720"/>
      <c r="BK6" s="721"/>
      <c r="BL6" s="721"/>
      <c r="BM6" s="722"/>
      <c r="BN6" s="725"/>
      <c r="BO6" s="725"/>
      <c r="BP6" s="725"/>
      <c r="BQ6" s="725"/>
      <c r="BR6" s="725"/>
      <c r="BS6" s="725"/>
      <c r="BT6" s="725"/>
      <c r="BU6" s="725"/>
      <c r="BV6" s="725"/>
      <c r="BW6" s="725"/>
      <c r="BX6" s="725"/>
      <c r="BY6" s="725"/>
      <c r="BZ6" s="726"/>
      <c r="CD6" s="707"/>
      <c r="CE6" s="707"/>
      <c r="CF6" s="707"/>
      <c r="CG6" s="707"/>
      <c r="CH6" s="707"/>
    </row>
    <row r="7" spans="1:87" ht="27" customHeight="1">
      <c r="A7" s="778"/>
      <c r="B7" s="778"/>
      <c r="C7" s="778"/>
      <c r="D7" s="778"/>
      <c r="E7" s="778"/>
      <c r="F7" s="778"/>
      <c r="G7" s="778"/>
      <c r="H7" s="778"/>
      <c r="I7" s="778"/>
      <c r="J7" s="778"/>
      <c r="K7" s="778"/>
      <c r="L7" s="778"/>
      <c r="M7" s="778"/>
      <c r="N7" s="778"/>
      <c r="O7" s="778"/>
      <c r="P7" s="778"/>
      <c r="Q7" s="778"/>
      <c r="R7" s="778"/>
      <c r="S7" s="778"/>
      <c r="T7" s="778"/>
      <c r="U7" s="778"/>
      <c r="V7" s="778"/>
      <c r="W7" s="336"/>
      <c r="X7" s="336"/>
      <c r="Y7" s="754" t="s">
        <v>80</v>
      </c>
      <c r="Z7" s="755"/>
      <c r="AA7" s="755"/>
      <c r="AB7" s="755"/>
      <c r="AC7" s="755"/>
      <c r="AD7" s="755"/>
      <c r="AE7" s="755"/>
      <c r="AF7" s="755"/>
      <c r="AG7" s="755"/>
      <c r="AH7" s="755"/>
      <c r="AI7" s="755"/>
      <c r="AJ7" s="755"/>
      <c r="AK7" s="755"/>
      <c r="AL7" s="756"/>
      <c r="AM7" s="33"/>
      <c r="AN7" s="33"/>
      <c r="AO7" s="773"/>
      <c r="AP7" s="745" t="s">
        <v>134</v>
      </c>
      <c r="AQ7" s="163" t="s">
        <v>45</v>
      </c>
      <c r="AR7" s="743">
        <f>宿泊者名簿!F16</f>
        <v>0</v>
      </c>
      <c r="AS7" s="744"/>
      <c r="AT7" s="745" t="s">
        <v>282</v>
      </c>
      <c r="AU7" s="163" t="s">
        <v>45</v>
      </c>
      <c r="AV7" s="743">
        <f>宿泊者名簿!J16</f>
        <v>0</v>
      </c>
      <c r="AW7" s="744"/>
      <c r="AX7" s="745" t="s">
        <v>42</v>
      </c>
      <c r="AY7" s="163" t="s">
        <v>45</v>
      </c>
      <c r="AZ7" s="743">
        <f>宿泊者名簿!N16</f>
        <v>0</v>
      </c>
      <c r="BA7" s="744"/>
      <c r="BB7" s="745" t="s">
        <v>287</v>
      </c>
      <c r="BC7" s="163" t="s">
        <v>136</v>
      </c>
      <c r="BD7" s="743">
        <f>宿泊者名簿!R16</f>
        <v>0</v>
      </c>
      <c r="BE7" s="744"/>
      <c r="BF7" s="708" t="s">
        <v>144</v>
      </c>
      <c r="BG7" s="709"/>
      <c r="BH7" s="712">
        <f>宿泊者名簿!I8</f>
        <v>0</v>
      </c>
      <c r="BI7" s="629"/>
      <c r="BJ7" s="629"/>
      <c r="BK7" s="629"/>
      <c r="BL7" s="629"/>
      <c r="BM7" s="629"/>
      <c r="BN7" s="629"/>
      <c r="BO7" s="629"/>
      <c r="BP7" s="629"/>
      <c r="BQ7" s="629"/>
      <c r="BR7" s="629"/>
      <c r="BS7" s="629"/>
      <c r="BT7" s="629"/>
      <c r="BU7" s="629"/>
      <c r="BV7" s="629"/>
      <c r="BW7" s="629"/>
      <c r="BX7" s="629"/>
      <c r="BY7" s="629"/>
      <c r="BZ7" s="713"/>
      <c r="CD7" s="707"/>
      <c r="CE7" s="707"/>
      <c r="CF7" s="707"/>
      <c r="CG7" s="707"/>
      <c r="CH7" s="707"/>
    </row>
    <row r="8" spans="1:87" ht="27" customHeight="1" thickBot="1">
      <c r="A8" s="778"/>
      <c r="B8" s="778"/>
      <c r="C8" s="778"/>
      <c r="D8" s="778"/>
      <c r="E8" s="778"/>
      <c r="F8" s="778"/>
      <c r="G8" s="778"/>
      <c r="H8" s="778"/>
      <c r="I8" s="778"/>
      <c r="J8" s="778"/>
      <c r="K8" s="778"/>
      <c r="L8" s="778"/>
      <c r="M8" s="778"/>
      <c r="N8" s="778"/>
      <c r="O8" s="778"/>
      <c r="P8" s="778"/>
      <c r="Q8" s="778"/>
      <c r="R8" s="778"/>
      <c r="S8" s="778"/>
      <c r="T8" s="778"/>
      <c r="U8" s="778"/>
      <c r="V8" s="778"/>
      <c r="W8" s="336"/>
      <c r="X8" s="336"/>
      <c r="Y8" s="757" t="s">
        <v>123</v>
      </c>
      <c r="Z8" s="758"/>
      <c r="AA8" s="758"/>
      <c r="AB8" s="758"/>
      <c r="AC8" s="758"/>
      <c r="AD8" s="758"/>
      <c r="AE8" s="758"/>
      <c r="AF8" s="758"/>
      <c r="AG8" s="758"/>
      <c r="AH8" s="758"/>
      <c r="AI8" s="758"/>
      <c r="AJ8" s="758"/>
      <c r="AK8" s="758"/>
      <c r="AL8" s="759"/>
      <c r="AM8" s="33"/>
      <c r="AN8" s="33"/>
      <c r="AO8" s="774"/>
      <c r="AP8" s="746"/>
      <c r="AQ8" s="185" t="s">
        <v>46</v>
      </c>
      <c r="AR8" s="741">
        <f>宿泊者名簿!F17</f>
        <v>0</v>
      </c>
      <c r="AS8" s="742"/>
      <c r="AT8" s="746"/>
      <c r="AU8" s="185" t="s">
        <v>46</v>
      </c>
      <c r="AV8" s="741">
        <f>宿泊者名簿!J17</f>
        <v>0</v>
      </c>
      <c r="AW8" s="742"/>
      <c r="AX8" s="746"/>
      <c r="AY8" s="185" t="s">
        <v>46</v>
      </c>
      <c r="AZ8" s="741">
        <f>宿泊者名簿!N17</f>
        <v>0</v>
      </c>
      <c r="BA8" s="742"/>
      <c r="BB8" s="746"/>
      <c r="BC8" s="185" t="s">
        <v>46</v>
      </c>
      <c r="BD8" s="741">
        <f>宿泊者名簿!R17</f>
        <v>0</v>
      </c>
      <c r="BE8" s="742"/>
      <c r="BF8" s="710" t="s">
        <v>124</v>
      </c>
      <c r="BG8" s="711"/>
      <c r="BH8" s="714">
        <f>宿泊者名簿!I9</f>
        <v>0</v>
      </c>
      <c r="BI8" s="715"/>
      <c r="BJ8" s="715"/>
      <c r="BK8" s="715"/>
      <c r="BL8" s="715"/>
      <c r="BM8" s="715"/>
      <c r="BN8" s="715"/>
      <c r="BO8" s="715"/>
      <c r="BP8" s="715"/>
      <c r="BQ8" s="715"/>
      <c r="BR8" s="715"/>
      <c r="BS8" s="715"/>
      <c r="BT8" s="715"/>
      <c r="BU8" s="715"/>
      <c r="BV8" s="715"/>
      <c r="BW8" s="715"/>
      <c r="BX8" s="715"/>
      <c r="BY8" s="715"/>
      <c r="BZ8" s="716"/>
      <c r="CD8" s="707"/>
      <c r="CE8" s="707"/>
      <c r="CF8" s="707"/>
      <c r="CG8" s="707"/>
      <c r="CH8" s="707"/>
    </row>
    <row r="9" spans="1:87" ht="7.5" customHeight="1" thickTop="1" thickBot="1">
      <c r="CD9" s="707"/>
      <c r="CE9" s="707"/>
      <c r="CF9" s="707"/>
      <c r="CG9" s="707"/>
      <c r="CH9" s="707"/>
    </row>
    <row r="10" spans="1:87" ht="10.35" customHeight="1">
      <c r="A10" s="596" t="s">
        <v>112</v>
      </c>
      <c r="B10" s="597"/>
      <c r="C10" s="597"/>
      <c r="D10" s="597"/>
      <c r="E10" s="597"/>
      <c r="F10" s="597"/>
      <c r="G10" s="597"/>
      <c r="H10" s="598"/>
      <c r="I10" s="483" t="s">
        <v>58</v>
      </c>
      <c r="J10" s="484"/>
      <c r="K10" s="484"/>
      <c r="L10" s="484"/>
      <c r="M10" s="484"/>
      <c r="N10" s="485"/>
      <c r="O10" s="483" t="str">
        <f>IF(宿泊者名簿!$M$9&lt;1,"",IF(AND(宿泊者名簿!$M$9&gt;0,宿泊者名簿!$M$9&lt;2),"最終日","中日①"))</f>
        <v/>
      </c>
      <c r="P10" s="484"/>
      <c r="Q10" s="484"/>
      <c r="R10" s="484"/>
      <c r="S10" s="484"/>
      <c r="T10" s="485"/>
      <c r="U10" s="483" t="str">
        <f>IF(宿泊者名簿!$M$9&lt;2,"",IF(AND(宿泊者名簿!$M$9&gt;1,宿泊者名簿!$M$9&lt;3),"最終日","中日②"))</f>
        <v/>
      </c>
      <c r="V10" s="484"/>
      <c r="W10" s="484"/>
      <c r="X10" s="484"/>
      <c r="Y10" s="484"/>
      <c r="Z10" s="485"/>
      <c r="AA10" s="483" t="str">
        <f>IF(宿泊者名簿!$M$9&lt;3,"",IF(AND(宿泊者名簿!$M$9&gt;2,宿泊者名簿!$M$9&lt;4),"最終日","中日③"))</f>
        <v/>
      </c>
      <c r="AB10" s="484"/>
      <c r="AC10" s="484"/>
      <c r="AD10" s="484"/>
      <c r="AE10" s="484"/>
      <c r="AF10" s="485"/>
      <c r="AG10" s="483" t="str">
        <f>IF(宿泊者名簿!$M$9&lt;4,"",IF(AND(宿泊者名簿!$M$9&gt;3,宿泊者名簿!$M$9&lt;5),"最終日","中日④"))</f>
        <v/>
      </c>
      <c r="AH10" s="484"/>
      <c r="AI10" s="484"/>
      <c r="AJ10" s="484"/>
      <c r="AK10" s="484"/>
      <c r="AL10" s="485"/>
      <c r="AO10" s="596" t="s">
        <v>112</v>
      </c>
      <c r="AP10" s="597"/>
      <c r="AQ10" s="597"/>
      <c r="AR10" s="597"/>
      <c r="AS10" s="597"/>
      <c r="AT10" s="597"/>
      <c r="AU10" s="597"/>
      <c r="AV10" s="598"/>
      <c r="AW10" s="483" t="str">
        <f>I10</f>
        <v>初日</v>
      </c>
      <c r="AX10" s="484"/>
      <c r="AY10" s="484"/>
      <c r="AZ10" s="484"/>
      <c r="BA10" s="484"/>
      <c r="BB10" s="485"/>
      <c r="BC10" s="483" t="str">
        <f>O10</f>
        <v/>
      </c>
      <c r="BD10" s="484"/>
      <c r="BE10" s="484"/>
      <c r="BF10" s="484"/>
      <c r="BG10" s="484"/>
      <c r="BH10" s="485"/>
      <c r="BI10" s="483" t="str">
        <f>U10</f>
        <v/>
      </c>
      <c r="BJ10" s="484"/>
      <c r="BK10" s="484"/>
      <c r="BL10" s="484"/>
      <c r="BM10" s="484"/>
      <c r="BN10" s="485"/>
      <c r="BO10" s="483" t="str">
        <f>AA10</f>
        <v/>
      </c>
      <c r="BP10" s="484"/>
      <c r="BQ10" s="484"/>
      <c r="BR10" s="484"/>
      <c r="BS10" s="484"/>
      <c r="BT10" s="485"/>
      <c r="BU10" s="483" t="str">
        <f>AG10</f>
        <v/>
      </c>
      <c r="BV10" s="484"/>
      <c r="BW10" s="484"/>
      <c r="BX10" s="484"/>
      <c r="BY10" s="484"/>
      <c r="BZ10" s="485"/>
      <c r="CE10" s="483" t="str">
        <f>AW10</f>
        <v>初日</v>
      </c>
      <c r="CF10" s="483" t="str">
        <f t="shared" ref="CF10" si="0">BC10</f>
        <v/>
      </c>
      <c r="CG10" s="483" t="str">
        <f t="shared" ref="CG10" si="1">BI10</f>
        <v/>
      </c>
      <c r="CH10" s="483" t="str">
        <f t="shared" ref="CH10" si="2">BO10</f>
        <v/>
      </c>
      <c r="CI10" s="532" t="str">
        <f t="shared" ref="CI10" si="3">BU10</f>
        <v/>
      </c>
    </row>
    <row r="11" spans="1:87" ht="10.35" customHeight="1">
      <c r="A11" s="599"/>
      <c r="B11" s="600"/>
      <c r="C11" s="600"/>
      <c r="D11" s="600"/>
      <c r="E11" s="600"/>
      <c r="F11" s="600"/>
      <c r="G11" s="600"/>
      <c r="H11" s="601"/>
      <c r="I11" s="486"/>
      <c r="J11" s="487"/>
      <c r="K11" s="487"/>
      <c r="L11" s="487"/>
      <c r="M11" s="487"/>
      <c r="N11" s="488"/>
      <c r="O11" s="486"/>
      <c r="P11" s="487"/>
      <c r="Q11" s="487"/>
      <c r="R11" s="487"/>
      <c r="S11" s="487"/>
      <c r="T11" s="488"/>
      <c r="U11" s="486"/>
      <c r="V11" s="487"/>
      <c r="W11" s="487"/>
      <c r="X11" s="487"/>
      <c r="Y11" s="487"/>
      <c r="Z11" s="488"/>
      <c r="AA11" s="486"/>
      <c r="AB11" s="487"/>
      <c r="AC11" s="487"/>
      <c r="AD11" s="487"/>
      <c r="AE11" s="487"/>
      <c r="AF11" s="488"/>
      <c r="AG11" s="486"/>
      <c r="AH11" s="487"/>
      <c r="AI11" s="487"/>
      <c r="AJ11" s="487"/>
      <c r="AK11" s="487"/>
      <c r="AL11" s="488"/>
      <c r="AO11" s="599"/>
      <c r="AP11" s="600"/>
      <c r="AQ11" s="600"/>
      <c r="AR11" s="600"/>
      <c r="AS11" s="600"/>
      <c r="AT11" s="600"/>
      <c r="AU11" s="600"/>
      <c r="AV11" s="601"/>
      <c r="AW11" s="486"/>
      <c r="AX11" s="487"/>
      <c r="AY11" s="487"/>
      <c r="AZ11" s="487"/>
      <c r="BA11" s="487"/>
      <c r="BB11" s="488"/>
      <c r="BC11" s="486"/>
      <c r="BD11" s="487"/>
      <c r="BE11" s="487"/>
      <c r="BF11" s="487"/>
      <c r="BG11" s="487"/>
      <c r="BH11" s="488"/>
      <c r="BI11" s="486"/>
      <c r="BJ11" s="487"/>
      <c r="BK11" s="487"/>
      <c r="BL11" s="487"/>
      <c r="BM11" s="487"/>
      <c r="BN11" s="488"/>
      <c r="BO11" s="486"/>
      <c r="BP11" s="487"/>
      <c r="BQ11" s="487"/>
      <c r="BR11" s="487"/>
      <c r="BS11" s="487"/>
      <c r="BT11" s="488"/>
      <c r="BU11" s="486"/>
      <c r="BV11" s="487"/>
      <c r="BW11" s="487"/>
      <c r="BX11" s="487"/>
      <c r="BY11" s="487"/>
      <c r="BZ11" s="488"/>
      <c r="CE11" s="486"/>
      <c r="CF11" s="486"/>
      <c r="CG11" s="486"/>
      <c r="CH11" s="486"/>
      <c r="CI11" s="533"/>
    </row>
    <row r="12" spans="1:87" ht="10.35" customHeight="1">
      <c r="A12" s="599" t="s">
        <v>84</v>
      </c>
      <c r="B12" s="600"/>
      <c r="C12" s="600"/>
      <c r="D12" s="600"/>
      <c r="E12" s="600"/>
      <c r="F12" s="600"/>
      <c r="G12" s="600"/>
      <c r="H12" s="601"/>
      <c r="I12" s="489" t="str">
        <f>IF(AND(宿泊者名簿!P6="",宿泊者名簿!R6=""),"",DATE(宿泊者名簿!M6+2018,宿泊者名簿!P6,宿泊者名簿!R6))</f>
        <v/>
      </c>
      <c r="J12" s="490"/>
      <c r="K12" s="490"/>
      <c r="L12" s="490"/>
      <c r="M12" s="490"/>
      <c r="N12" s="491"/>
      <c r="O12" s="489" t="str">
        <f>IF(O10="","",I12+1)</f>
        <v/>
      </c>
      <c r="P12" s="490"/>
      <c r="Q12" s="490"/>
      <c r="R12" s="490"/>
      <c r="S12" s="490"/>
      <c r="T12" s="491"/>
      <c r="U12" s="489" t="str">
        <f>IF(U10="","",O12+1)</f>
        <v/>
      </c>
      <c r="V12" s="490"/>
      <c r="W12" s="490"/>
      <c r="X12" s="490"/>
      <c r="Y12" s="490"/>
      <c r="Z12" s="491"/>
      <c r="AA12" s="489" t="str">
        <f>IF(AA10="","",U12+1)</f>
        <v/>
      </c>
      <c r="AB12" s="490"/>
      <c r="AC12" s="490"/>
      <c r="AD12" s="490"/>
      <c r="AE12" s="490"/>
      <c r="AF12" s="491"/>
      <c r="AG12" s="489" t="str">
        <f>IF(AG10="","",AA12+1)</f>
        <v/>
      </c>
      <c r="AH12" s="490"/>
      <c r="AI12" s="490"/>
      <c r="AJ12" s="490"/>
      <c r="AK12" s="490"/>
      <c r="AL12" s="491"/>
      <c r="AO12" s="599" t="s">
        <v>84</v>
      </c>
      <c r="AP12" s="600"/>
      <c r="AQ12" s="600"/>
      <c r="AR12" s="600"/>
      <c r="AS12" s="600"/>
      <c r="AT12" s="600"/>
      <c r="AU12" s="600"/>
      <c r="AV12" s="601"/>
      <c r="AW12" s="489" t="str">
        <f>I12</f>
        <v/>
      </c>
      <c r="AX12" s="490"/>
      <c r="AY12" s="490"/>
      <c r="AZ12" s="490"/>
      <c r="BA12" s="490"/>
      <c r="BB12" s="491"/>
      <c r="BC12" s="489" t="str">
        <f>O12</f>
        <v/>
      </c>
      <c r="BD12" s="490"/>
      <c r="BE12" s="490"/>
      <c r="BF12" s="490"/>
      <c r="BG12" s="490"/>
      <c r="BH12" s="491"/>
      <c r="BI12" s="489" t="str">
        <f>U12</f>
        <v/>
      </c>
      <c r="BJ12" s="490"/>
      <c r="BK12" s="490"/>
      <c r="BL12" s="490"/>
      <c r="BM12" s="490"/>
      <c r="BN12" s="491"/>
      <c r="BO12" s="489" t="str">
        <f>AA12</f>
        <v/>
      </c>
      <c r="BP12" s="490"/>
      <c r="BQ12" s="490"/>
      <c r="BR12" s="490"/>
      <c r="BS12" s="490"/>
      <c r="BT12" s="491"/>
      <c r="BU12" s="489" t="str">
        <f>AG12</f>
        <v/>
      </c>
      <c r="BV12" s="490"/>
      <c r="BW12" s="490"/>
      <c r="BX12" s="490"/>
      <c r="BY12" s="490"/>
      <c r="BZ12" s="491"/>
      <c r="CE12" s="489" t="str">
        <f t="shared" ref="CE12" si="4">AW12</f>
        <v/>
      </c>
      <c r="CF12" s="489" t="str">
        <f t="shared" ref="CF12" si="5">BC12</f>
        <v/>
      </c>
      <c r="CG12" s="489" t="str">
        <f t="shared" ref="CG12" si="6">BI12</f>
        <v/>
      </c>
      <c r="CH12" s="489" t="str">
        <f t="shared" ref="CH12" si="7">BO12</f>
        <v/>
      </c>
      <c r="CI12" s="534" t="str">
        <f t="shared" ref="CI12" si="8">BU12</f>
        <v/>
      </c>
    </row>
    <row r="13" spans="1:87" ht="10.35" customHeight="1" thickBot="1">
      <c r="A13" s="611"/>
      <c r="B13" s="612"/>
      <c r="C13" s="612"/>
      <c r="D13" s="612"/>
      <c r="E13" s="612"/>
      <c r="F13" s="612"/>
      <c r="G13" s="612"/>
      <c r="H13" s="613"/>
      <c r="I13" s="492"/>
      <c r="J13" s="493"/>
      <c r="K13" s="493"/>
      <c r="L13" s="493"/>
      <c r="M13" s="493"/>
      <c r="N13" s="494"/>
      <c r="O13" s="492"/>
      <c r="P13" s="493"/>
      <c r="Q13" s="493"/>
      <c r="R13" s="493"/>
      <c r="S13" s="493"/>
      <c r="T13" s="494"/>
      <c r="U13" s="492"/>
      <c r="V13" s="493"/>
      <c r="W13" s="493"/>
      <c r="X13" s="493"/>
      <c r="Y13" s="493"/>
      <c r="Z13" s="494"/>
      <c r="AA13" s="492"/>
      <c r="AB13" s="493"/>
      <c r="AC13" s="493"/>
      <c r="AD13" s="493"/>
      <c r="AE13" s="493"/>
      <c r="AF13" s="494"/>
      <c r="AG13" s="492"/>
      <c r="AH13" s="493"/>
      <c r="AI13" s="493"/>
      <c r="AJ13" s="493"/>
      <c r="AK13" s="493"/>
      <c r="AL13" s="494"/>
      <c r="AO13" s="611"/>
      <c r="AP13" s="612"/>
      <c r="AQ13" s="612"/>
      <c r="AR13" s="612"/>
      <c r="AS13" s="612"/>
      <c r="AT13" s="612"/>
      <c r="AU13" s="612"/>
      <c r="AV13" s="613"/>
      <c r="AW13" s="492"/>
      <c r="AX13" s="493"/>
      <c r="AY13" s="493"/>
      <c r="AZ13" s="493"/>
      <c r="BA13" s="493"/>
      <c r="BB13" s="494"/>
      <c r="BC13" s="492"/>
      <c r="BD13" s="493"/>
      <c r="BE13" s="493"/>
      <c r="BF13" s="493"/>
      <c r="BG13" s="493"/>
      <c r="BH13" s="494"/>
      <c r="BI13" s="492"/>
      <c r="BJ13" s="493"/>
      <c r="BK13" s="493"/>
      <c r="BL13" s="493"/>
      <c r="BM13" s="493"/>
      <c r="BN13" s="494"/>
      <c r="BO13" s="492"/>
      <c r="BP13" s="493"/>
      <c r="BQ13" s="493"/>
      <c r="BR13" s="493"/>
      <c r="BS13" s="493"/>
      <c r="BT13" s="494"/>
      <c r="BU13" s="492"/>
      <c r="BV13" s="493"/>
      <c r="BW13" s="493"/>
      <c r="BX13" s="493"/>
      <c r="BY13" s="493"/>
      <c r="BZ13" s="494"/>
      <c r="CE13" s="492"/>
      <c r="CF13" s="492"/>
      <c r="CG13" s="492"/>
      <c r="CH13" s="492"/>
      <c r="CI13" s="535"/>
    </row>
    <row r="14" spans="1:87" ht="22.9" customHeight="1">
      <c r="A14" s="622" t="s">
        <v>85</v>
      </c>
      <c r="B14" s="625" t="s">
        <v>86</v>
      </c>
      <c r="C14" s="626"/>
      <c r="D14" s="626"/>
      <c r="E14" s="626"/>
      <c r="F14" s="626"/>
      <c r="G14" s="626"/>
      <c r="H14" s="627"/>
      <c r="I14" s="628"/>
      <c r="J14" s="629"/>
      <c r="K14" s="629"/>
      <c r="L14" s="629"/>
      <c r="M14" s="578"/>
      <c r="N14" s="579"/>
      <c r="O14" s="519"/>
      <c r="P14" s="520"/>
      <c r="Q14" s="520"/>
      <c r="R14" s="520"/>
      <c r="S14" s="578" t="s">
        <v>87</v>
      </c>
      <c r="T14" s="579"/>
      <c r="U14" s="519"/>
      <c r="V14" s="520"/>
      <c r="W14" s="520"/>
      <c r="X14" s="520"/>
      <c r="Y14" s="578" t="s">
        <v>87</v>
      </c>
      <c r="Z14" s="579"/>
      <c r="AA14" s="519"/>
      <c r="AB14" s="520"/>
      <c r="AC14" s="520"/>
      <c r="AD14" s="520"/>
      <c r="AE14" s="578" t="s">
        <v>87</v>
      </c>
      <c r="AF14" s="579"/>
      <c r="AG14" s="519"/>
      <c r="AH14" s="520"/>
      <c r="AI14" s="520"/>
      <c r="AJ14" s="520"/>
      <c r="AK14" s="578" t="s">
        <v>87</v>
      </c>
      <c r="AL14" s="579"/>
      <c r="AO14" s="697" t="s">
        <v>155</v>
      </c>
      <c r="AP14" s="700" t="s">
        <v>97</v>
      </c>
      <c r="AQ14" s="701"/>
      <c r="AR14" s="688" t="s">
        <v>150</v>
      </c>
      <c r="AS14" s="574" t="s">
        <v>98</v>
      </c>
      <c r="AT14" s="575"/>
      <c r="AU14" s="575"/>
      <c r="AV14" s="576"/>
      <c r="AW14" s="519"/>
      <c r="AX14" s="520"/>
      <c r="AY14" s="518" t="s">
        <v>99</v>
      </c>
      <c r="AZ14" s="517" t="s">
        <v>93</v>
      </c>
      <c r="BA14" s="484"/>
      <c r="BB14" s="485"/>
      <c r="BC14" s="519"/>
      <c r="BD14" s="520"/>
      <c r="BE14" s="518" t="s">
        <v>99</v>
      </c>
      <c r="BF14" s="517" t="s">
        <v>93</v>
      </c>
      <c r="BG14" s="484"/>
      <c r="BH14" s="485"/>
      <c r="BI14" s="519"/>
      <c r="BJ14" s="520"/>
      <c r="BK14" s="518" t="s">
        <v>99</v>
      </c>
      <c r="BL14" s="517" t="s">
        <v>93</v>
      </c>
      <c r="BM14" s="484"/>
      <c r="BN14" s="485"/>
      <c r="BO14" s="519"/>
      <c r="BP14" s="520"/>
      <c r="BQ14" s="518" t="s">
        <v>99</v>
      </c>
      <c r="BR14" s="517" t="s">
        <v>93</v>
      </c>
      <c r="BS14" s="484"/>
      <c r="BT14" s="485"/>
      <c r="BU14" s="519"/>
      <c r="BV14" s="520"/>
      <c r="BW14" s="518" t="s">
        <v>99</v>
      </c>
      <c r="BX14" s="517" t="s">
        <v>93</v>
      </c>
      <c r="BY14" s="484"/>
      <c r="BZ14" s="485"/>
      <c r="CD14" s="29" t="s">
        <v>376</v>
      </c>
      <c r="CE14" s="335" t="str">
        <f>IF($I$29="","",$E$29&amp;$I$29&amp;$K$29&amp;" "&amp;TEXT($L$30,"[h]:mm"))&amp;IF($I$31="","",LEFT($E$31,4)&amp;$I$31&amp;$K$31&amp;" "&amp;TEXT($L$32,"[h]:mm"))&amp;IF($I$33="","",$E$33&amp;$I$33&amp;$K$33&amp;" "&amp;TEXT($L$34,"[h]:mm"))</f>
        <v/>
      </c>
      <c r="CF14" s="335" t="str">
        <f>IF($O$29="","",$E$29&amp;$O$29&amp;$Q$29&amp;" "&amp;TEXT($R$30,"[h]:mm"))&amp;IF($O$31="","",LEFT($E$31,4)&amp;$O$31&amp;$Q$31&amp;" "&amp;TEXT($R$32,"[h]:mm"))&amp;IF($O$33="","",$E$33&amp;$O$33&amp;$Q$33&amp;" "&amp;TEXT($R$34,"[h]:mm"))</f>
        <v/>
      </c>
      <c r="CG14" s="335" t="str">
        <f>IF($U$29="","",$E$29&amp;$U$29&amp;$W$29&amp;" "&amp;TEXT($X$30,"[h]:mm"))&amp;IF($U$31="","",LEFT($E$31,4)&amp;$U$31&amp;$W$31&amp;" "&amp;TEXT($X$32,"[h]:mm"))&amp;IF($U$33="","",$E$33&amp;$U$33&amp;$W$33&amp;" "&amp;TEXT($X$34,"[h]:mm"))</f>
        <v/>
      </c>
      <c r="CH14" s="335" t="str">
        <f>IF($AA$29="","",$E$29&amp;$AA$29&amp;$AC$29&amp;" "&amp;TEXT($AD$30,"[h]:mm"))&amp;IF($AA$31="","",LEFT($E$31,4)&amp;$AA$31&amp;$AC$31&amp;" "&amp;TEXT($AD$32,"[h]:mm"))&amp;IF($AA$33="","",$E$33&amp;$AA$33&amp;$AC$33&amp;" "&amp;TEXT($AD$34,"[h]:mm"))</f>
        <v/>
      </c>
      <c r="CI14" s="335" t="str">
        <f>IF($AG$29="","",$E$29&amp;$AG$29&amp;$AI$29&amp;" "&amp;TEXT($AJ$30,"[h]:mm"))&amp;IF($AG$31="","",LEFT($E$31,4)&amp;$AG$31&amp;$AI$31&amp;" "&amp;TEXT($AJ$32,"[h]:mm"))&amp;IF($AG$33="","",$E$33&amp;$AG$33&amp;$AI$33&amp;" "&amp;TEXT($AJ$34,"[h]:mm"))</f>
        <v/>
      </c>
    </row>
    <row r="15" spans="1:87" ht="22.9" customHeight="1">
      <c r="A15" s="623"/>
      <c r="B15" s="619" t="s">
        <v>156</v>
      </c>
      <c r="C15" s="620"/>
      <c r="D15" s="620"/>
      <c r="E15" s="620"/>
      <c r="F15" s="620"/>
      <c r="G15" s="620"/>
      <c r="H15" s="621"/>
      <c r="I15" s="498"/>
      <c r="J15" s="499"/>
      <c r="K15" s="499"/>
      <c r="L15" s="499"/>
      <c r="M15" s="572" t="s">
        <v>87</v>
      </c>
      <c r="N15" s="573"/>
      <c r="O15" s="498"/>
      <c r="P15" s="499"/>
      <c r="Q15" s="499"/>
      <c r="R15" s="499"/>
      <c r="S15" s="572" t="s">
        <v>87</v>
      </c>
      <c r="T15" s="573"/>
      <c r="U15" s="498"/>
      <c r="V15" s="499"/>
      <c r="W15" s="499"/>
      <c r="X15" s="499"/>
      <c r="Y15" s="572" t="s">
        <v>87</v>
      </c>
      <c r="Z15" s="573"/>
      <c r="AA15" s="498"/>
      <c r="AB15" s="499"/>
      <c r="AC15" s="499"/>
      <c r="AD15" s="499"/>
      <c r="AE15" s="572" t="s">
        <v>87</v>
      </c>
      <c r="AF15" s="573"/>
      <c r="AG15" s="498"/>
      <c r="AH15" s="499"/>
      <c r="AI15" s="499"/>
      <c r="AJ15" s="499"/>
      <c r="AK15" s="572" t="s">
        <v>87</v>
      </c>
      <c r="AL15" s="573"/>
      <c r="AO15" s="698"/>
      <c r="AP15" s="702"/>
      <c r="AQ15" s="605"/>
      <c r="AR15" s="594"/>
      <c r="AS15" s="563"/>
      <c r="AT15" s="564"/>
      <c r="AU15" s="564"/>
      <c r="AV15" s="565"/>
      <c r="AW15" s="498"/>
      <c r="AX15" s="499"/>
      <c r="AY15" s="500"/>
      <c r="AZ15" s="495"/>
      <c r="BA15" s="496"/>
      <c r="BB15" s="497"/>
      <c r="BC15" s="498"/>
      <c r="BD15" s="499"/>
      <c r="BE15" s="500"/>
      <c r="BF15" s="495"/>
      <c r="BG15" s="496"/>
      <c r="BH15" s="497"/>
      <c r="BI15" s="498"/>
      <c r="BJ15" s="499"/>
      <c r="BK15" s="500"/>
      <c r="BL15" s="495"/>
      <c r="BM15" s="496"/>
      <c r="BN15" s="497"/>
      <c r="BO15" s="498"/>
      <c r="BP15" s="499"/>
      <c r="BQ15" s="500"/>
      <c r="BR15" s="495"/>
      <c r="BS15" s="496"/>
      <c r="BT15" s="497"/>
      <c r="BU15" s="498"/>
      <c r="BV15" s="499"/>
      <c r="BW15" s="500"/>
      <c r="BX15" s="495"/>
      <c r="BY15" s="496"/>
      <c r="BZ15" s="497"/>
      <c r="CD15" s="29" t="s">
        <v>375</v>
      </c>
      <c r="CE15" s="334" t="str">
        <f>IF($I$35="","",$E$35&amp;$I$35&amp;$K$35&amp;TEXT($L$36,"[h]:mm"))&amp;IF($I$37="","",$E$37&amp;$I$37&amp;$K$37&amp;TEXT($L$38,"[h]:mm"))&amp;IF($I$39="","",$E$39&amp;$I$39&amp;$K$39&amp;TEXT($L$40,"[h]:mm"))&amp;IF($I$41="","",$E$41&amp;$I$41&amp;$K$41&amp;TEXT($L$42,"[h]:mm"))&amp;IF($I$43="","",$E$43&amp;$I$43&amp;$K$43&amp;TEXT($L$44,"[h]:mm"))</f>
        <v/>
      </c>
      <c r="CF15" s="334" t="str">
        <f>IF($O$35="","",$E$35&amp;$O$35&amp;$Q$35&amp;TEXT($R$36,"[h]:mm"))&amp;IF($O$37="","",$E$37&amp;$O$37&amp;$Q$37&amp;TEXT($R$38,"[h]:mm"))&amp;IF($O$39="","",$E$39&amp;$O$39&amp;$Q$39&amp;TEXT($R$40,"[h]:mm"))&amp;IF($O$41="","",$E$41&amp;$O$41&amp;$Q$41&amp;TEXT($R$42,"[h]:mm"))&amp;IF($O$43="","",$E$43&amp;$O$43&amp;$Q$43&amp;TEXT($R$44,"[h]:mm"))</f>
        <v/>
      </c>
      <c r="CG15" s="334" t="str">
        <f>IF($U$35="","",$E$35&amp;$U$35&amp;$W$35&amp;TEXT($X$36,"[h]:mm"))&amp;IF($U$37="","",$E$37&amp;$U$37&amp;$W$37&amp;TEXT($X$38,"[h]:mm"))&amp;IF($U$39="","",$E$39&amp;$U$39&amp;$W$39&amp;TEXT($X$40,"[h]:mm"))&amp;IF($U$41="","",$E$41&amp;$U$41&amp;$W$41&amp;TEXT($X$42,"[h]:mm"))&amp;IF($U$43="","",$E$43&amp;$U$43&amp;$W$43&amp;TEXT($X$44,"[h]:mm"))</f>
        <v/>
      </c>
      <c r="CH15" s="334" t="str">
        <f>IF($AA$35="","",$E$35&amp;$AA$35&amp;$AC$35&amp;TEXT($AD$36,"[h]:mm"))&amp;IF($AA$37="","",$E$37&amp;$AA$37&amp;$AC$37&amp;TEXT($AD$38,"[h]:mm"))&amp;IF($AA$39="","",$E$39&amp;$AA$39&amp;$AC$39&amp;TEXT($AD$40,"[h]:mm"))&amp;IF($AA$41="","",$E$41&amp;$AA$41&amp;$AC$41&amp;TEXT($AD$42,"[h]:mm"))&amp;IF($AA$43="","",$E$43&amp;$AA$43&amp;$AC$43&amp;TEXT($AD$44,"[h]:mm"))</f>
        <v/>
      </c>
      <c r="CI15" s="334" t="str">
        <f>IF($AG$35="","",$E$35&amp;$AG$35&amp;$AI$35&amp;TEXT($AJ$36,"[h]:mm"))&amp;IF($AG$37="","",$E$37&amp;$AG$37&amp;$AI$37&amp;TEXT($AJ$38,"[h]:mm"))&amp;IF($AG$39="","",$E$39&amp;$AG$39&amp;$AI$39&amp;TEXT($AJ$40,"[h]:mm"))&amp;IF($AG$41="","",$E$41&amp;$AG$41&amp;$AI$41&amp;TEXT($AJ$42,"[h]:mm"))&amp;IF($AG$43="","",$E$43&amp;$AG$43&amp;$AI$43&amp;TEXT($AJ$44,"[h]:mm"))</f>
        <v/>
      </c>
    </row>
    <row r="16" spans="1:87" ht="22.9" customHeight="1" thickBot="1">
      <c r="A16" s="624"/>
      <c r="B16" s="614" t="s">
        <v>88</v>
      </c>
      <c r="C16" s="615"/>
      <c r="D16" s="615"/>
      <c r="E16" s="615"/>
      <c r="F16" s="615"/>
      <c r="G16" s="615"/>
      <c r="H16" s="616"/>
      <c r="I16" s="521"/>
      <c r="J16" s="522"/>
      <c r="K16" s="522"/>
      <c r="L16" s="522"/>
      <c r="M16" s="617" t="s">
        <v>87</v>
      </c>
      <c r="N16" s="618"/>
      <c r="O16" s="521"/>
      <c r="P16" s="522"/>
      <c r="Q16" s="522"/>
      <c r="R16" s="522"/>
      <c r="S16" s="617" t="s">
        <v>87</v>
      </c>
      <c r="T16" s="618"/>
      <c r="U16" s="521"/>
      <c r="V16" s="522"/>
      <c r="W16" s="522"/>
      <c r="X16" s="522"/>
      <c r="Y16" s="617" t="s">
        <v>87</v>
      </c>
      <c r="Z16" s="618"/>
      <c r="AA16" s="521"/>
      <c r="AB16" s="522"/>
      <c r="AC16" s="522"/>
      <c r="AD16" s="522"/>
      <c r="AE16" s="617" t="s">
        <v>87</v>
      </c>
      <c r="AF16" s="618"/>
      <c r="AG16" s="704"/>
      <c r="AH16" s="705"/>
      <c r="AI16" s="705"/>
      <c r="AJ16" s="705"/>
      <c r="AK16" s="617" t="s">
        <v>87</v>
      </c>
      <c r="AL16" s="618"/>
      <c r="AO16" s="698"/>
      <c r="AP16" s="702"/>
      <c r="AQ16" s="605"/>
      <c r="AR16" s="594"/>
      <c r="AS16" s="560" t="s">
        <v>100</v>
      </c>
      <c r="AT16" s="561"/>
      <c r="AU16" s="561"/>
      <c r="AV16" s="562"/>
      <c r="AW16" s="498"/>
      <c r="AX16" s="499"/>
      <c r="AY16" s="500" t="s">
        <v>101</v>
      </c>
      <c r="AZ16" s="501" t="s">
        <v>93</v>
      </c>
      <c r="BA16" s="502"/>
      <c r="BB16" s="503"/>
      <c r="BC16" s="498"/>
      <c r="BD16" s="499"/>
      <c r="BE16" s="500" t="s">
        <v>101</v>
      </c>
      <c r="BF16" s="501" t="s">
        <v>93</v>
      </c>
      <c r="BG16" s="502"/>
      <c r="BH16" s="503"/>
      <c r="BI16" s="498"/>
      <c r="BJ16" s="499"/>
      <c r="BK16" s="500" t="s">
        <v>101</v>
      </c>
      <c r="BL16" s="501" t="s">
        <v>93</v>
      </c>
      <c r="BM16" s="502"/>
      <c r="BN16" s="503"/>
      <c r="BO16" s="498"/>
      <c r="BP16" s="499"/>
      <c r="BQ16" s="500" t="s">
        <v>101</v>
      </c>
      <c r="BR16" s="501" t="s">
        <v>93</v>
      </c>
      <c r="BS16" s="502"/>
      <c r="BT16" s="503"/>
      <c r="BU16" s="498"/>
      <c r="BV16" s="499"/>
      <c r="BW16" s="500" t="s">
        <v>101</v>
      </c>
      <c r="BX16" s="501" t="s">
        <v>93</v>
      </c>
      <c r="BY16" s="502"/>
      <c r="BZ16" s="503"/>
      <c r="CD16" s="29" t="s">
        <v>307</v>
      </c>
      <c r="CE16" s="332" t="str">
        <f>IF($I$45="","",$E$45&amp;$I$45&amp;$K$45&amp;TEXT($L$46,"[h]:mm"))&amp;IF($I$47="","",$E$47&amp;$I$47&amp;$K$47&amp;TEXT($L$48,"[h]:mm"))&amp;IF($I$49="","",$E$49&amp;$I$49&amp;$K$49&amp;TEXT($L$50,"[h]:mm"))&amp;IF($I$51="","",$E$51&amp;$I$51&amp;$K$51&amp;TEXT($L$52,"[h]:mm"))</f>
        <v/>
      </c>
      <c r="CF16" s="332" t="str">
        <f>IF($O$45="","",$E$45&amp;$O$45&amp;$Q$45&amp;TEXT($R$46,"[h]:mm"))&amp;IF($O$47="","",$E$47&amp;$O$47&amp;$Q$47&amp;TEXT($R$48,"[h]:mm"))&amp;IF($O$49="","",$E$49&amp;$O$49&amp;$Q$49&amp;TEXT($R$50,"[h]:mm"))&amp;IF($O$51="","",$E$51&amp;$O$51&amp;$Q$51&amp;TEXT($R$52,"[h]:mm"))</f>
        <v/>
      </c>
      <c r="CG16" s="332" t="str">
        <f>IF($U$45="","",$E$45&amp;$U$45&amp;$W$45&amp;TEXT($X$46,"[h]:mm"))&amp;IF($U$47="","",$E$47&amp;$U$47&amp;$W$47&amp;TEXT($X$48,"[h]:mm"))&amp;IF($U$49="","",$E$49&amp;$U$49&amp;$W$49&amp;TEXT($X$50,"[h]:mm"))&amp;IF($U$51="","",$E$51&amp;$U$51&amp;$W$51&amp;TEXT($X$52,"[h]:mm"))</f>
        <v/>
      </c>
      <c r="CH16" s="332" t="str">
        <f>IF($AA$45="","",$E$45&amp;$AA$45&amp;$AC$45&amp;TEXT($AD$46,"[h]:mm"))&amp;IF($AA$47="","",$E$47&amp;$AA$47&amp;$AC$47&amp;TEXT($AD$48,"[h]:mm"))&amp;IF($AA$49="","",$E$49&amp;$AA$49&amp;$AC$49&amp;TEXT($AD$50,"[h]:mm"))&amp;IF($AA$51="","",$E$51&amp;$AA$51&amp;$AC$51&amp;TEXT($AD$52,"[h]:mm"))</f>
        <v/>
      </c>
      <c r="CI16" s="332" t="str">
        <f>IF($AG$45="","",$E$45&amp;$AG$45&amp;$AI$45&amp;TEXT($AJ$46,"[h]:mm"))&amp;IF($AG$47="","",$E$47&amp;$AG$47&amp;$AI$47&amp;TEXT($AJ$48,"[h]:mm"))&amp;IF($AG$49="","",$E$49&amp;$AG$49&amp;$AI$49&amp;TEXT($AJ$50,"[h]:mm"))&amp;IF($AG$51="","",$E$51&amp;$AG$51&amp;$AI$51&amp;TEXT($AJ$52,"[h]:mm"))</f>
        <v/>
      </c>
    </row>
    <row r="17" spans="1:87" ht="22.9" customHeight="1">
      <c r="A17" s="630" t="s">
        <v>157</v>
      </c>
      <c r="B17" s="634" t="s">
        <v>89</v>
      </c>
      <c r="C17" s="635"/>
      <c r="D17" s="636"/>
      <c r="E17" s="649" t="s">
        <v>90</v>
      </c>
      <c r="F17" s="649"/>
      <c r="G17" s="649"/>
      <c r="H17" s="650"/>
      <c r="I17" s="643"/>
      <c r="J17" s="644"/>
      <c r="K17" s="644"/>
      <c r="L17" s="644"/>
      <c r="M17" s="644"/>
      <c r="N17" s="645"/>
      <c r="O17" s="643"/>
      <c r="P17" s="644"/>
      <c r="Q17" s="644"/>
      <c r="R17" s="644"/>
      <c r="S17" s="644"/>
      <c r="T17" s="645"/>
      <c r="U17" s="643"/>
      <c r="V17" s="644"/>
      <c r="W17" s="644"/>
      <c r="X17" s="644"/>
      <c r="Y17" s="644"/>
      <c r="Z17" s="645"/>
      <c r="AA17" s="643"/>
      <c r="AB17" s="644"/>
      <c r="AC17" s="644"/>
      <c r="AD17" s="644"/>
      <c r="AE17" s="644"/>
      <c r="AF17" s="645"/>
      <c r="AG17" s="643"/>
      <c r="AH17" s="644"/>
      <c r="AI17" s="644"/>
      <c r="AJ17" s="644"/>
      <c r="AK17" s="644"/>
      <c r="AL17" s="645"/>
      <c r="AO17" s="698"/>
      <c r="AP17" s="702"/>
      <c r="AQ17" s="605"/>
      <c r="AR17" s="594"/>
      <c r="AS17" s="563"/>
      <c r="AT17" s="564"/>
      <c r="AU17" s="564"/>
      <c r="AV17" s="565"/>
      <c r="AW17" s="498"/>
      <c r="AX17" s="499"/>
      <c r="AY17" s="500"/>
      <c r="AZ17" s="495"/>
      <c r="BA17" s="496"/>
      <c r="BB17" s="497"/>
      <c r="BC17" s="498"/>
      <c r="BD17" s="499"/>
      <c r="BE17" s="500"/>
      <c r="BF17" s="495"/>
      <c r="BG17" s="496"/>
      <c r="BH17" s="497"/>
      <c r="BI17" s="498"/>
      <c r="BJ17" s="499"/>
      <c r="BK17" s="500"/>
      <c r="BL17" s="495"/>
      <c r="BM17" s="496"/>
      <c r="BN17" s="497"/>
      <c r="BO17" s="498"/>
      <c r="BP17" s="499"/>
      <c r="BQ17" s="500"/>
      <c r="BR17" s="495"/>
      <c r="BS17" s="496"/>
      <c r="BT17" s="497"/>
      <c r="BU17" s="498"/>
      <c r="BV17" s="499"/>
      <c r="BW17" s="500"/>
      <c r="BX17" s="495"/>
      <c r="BY17" s="496"/>
      <c r="BZ17" s="497"/>
      <c r="CD17" s="29" t="s">
        <v>373</v>
      </c>
      <c r="CE17" s="332" t="str">
        <f>IF($AW$14="","",$AS$14&amp;$AW$14&amp;$AY$14&amp;TEXT($AZ$15,"[h]:mm"))&amp;IF($AW$16="","",$AS$16&amp;$AW$16&amp;$AY$16&amp;TEXT($AZ$17,"[h]:mm"))&amp;IF($AW$18="","",$AS$18&amp;$AW$18&amp;$AY$18&amp;TEXT($AZ$19,"[h]:mm"))&amp;IF($AW$20="","",$AS$20&amp;$AW$20&amp;$AY$20&amp;TEXT($AZ$21,"[h]:mm"))&amp;IF($AW$22="","",$AS$22&amp;$AW$22&amp;$AY$22&amp;TEXT($AZ$23,"[h]:mm"))</f>
        <v/>
      </c>
      <c r="CF17" s="332" t="str">
        <f>IF($BC$14="","",$AS$14&amp;$BC$14&amp;$BE$14&amp;TEXT($BF$15,"[h]:mm"))&amp;IF($BC$16="","",$AS$16&amp;$BC$16&amp;$BE$16&amp;TEXT($BF$17,"[h]:mm"))&amp;IF($BC$18="","",$AS$18&amp;$BC$18&amp;$BE$18&amp;TEXT($BF$19,"[h]:mm"))&amp;IF($BC$20="","",$AS$20&amp;$BC$20&amp;$BE$20&amp;TEXT($BF$21,"[h]:mm"))&amp;IF($BC$22="","",$AS$22&amp;$BC$22&amp;$BE$22&amp;TEXT($BF$23,"[h]:mm"))</f>
        <v/>
      </c>
      <c r="CG17" s="332" t="str">
        <f>IF($BI$14="","",$AS$14&amp;$BI$14&amp;$BK$14&amp;TEXT($BL$15,"[h]:mm"))&amp;IF($BI$16="","",$AS$16&amp;$BI$16&amp;$BK$16&amp;TEXT($BL$17,"[h]:mm"))&amp;IF($BI$18="","",$AS$18&amp;$BI$18&amp;$BK$18&amp;TEXT($BL$19,"[h]:mm"))&amp;IF($BI$20="","",$AS$20&amp;$BI$20&amp;$BK$20&amp;TEXT($BL$21,"[h]:mm"))&amp;IF($BI$22="","",$AS$22&amp;$BI$22&amp;$BK$22&amp;TEXT($BL$23,"[h]:mm"))</f>
        <v/>
      </c>
      <c r="CH17" s="332" t="str">
        <f>IF($BO$14="","",$AS$14&amp;$BO$14&amp;$BQ$14&amp;TEXT($BR$15,"[h]:mm"))&amp;IF($BO$16="","",$AS$16&amp;$BO$16&amp;$BQ$16&amp;TEXT($BR$17,"[h]:mm"))&amp;IF($BO$18="","",$AS$18&amp;$BO$18&amp;$BQ$18&amp;TEXT($BR$19,"[h]:mm"))&amp;IF($BO$20="","",$AS$20&amp;$BO$20&amp;$BQ$20&amp;TEXT($BR$21,"[h]:mm"))&amp;IF($BO$22="","",$AS$22&amp;$BO$22&amp;$BQ$22&amp;TEXT($BR$23,"[h]:mm"))</f>
        <v/>
      </c>
      <c r="CI17" s="332" t="str">
        <f>IF($BU$14="","",$AS$14&amp;$BU$14&amp;$BW$14&amp;TEXT($BX$15,"[h]:mm"))&amp;IF($BU$16="","",$AS$16&amp;$BU$16&amp;$BW$16&amp;TEXT($BX$17,"[h]:mm"))&amp;IF($BU$18="","",$AS$18&amp;$BU$18&amp;$BW$18&amp;TEXT($BX$19,"[h]:mm"))&amp;IF($BU$20="","",$AS$20&amp;$BU$20&amp;$BW$20&amp;TEXT($BX$21,"[h]:mm"))&amp;IF($BU$22="","",$AS$22&amp;$BU$22&amp;$BW$22&amp;TEXT($BX$23,"[h]:mm"))</f>
        <v/>
      </c>
    </row>
    <row r="18" spans="1:87" ht="22.9" customHeight="1">
      <c r="A18" s="631"/>
      <c r="B18" s="637"/>
      <c r="C18" s="638"/>
      <c r="D18" s="639"/>
      <c r="E18" s="649" t="s">
        <v>91</v>
      </c>
      <c r="F18" s="649"/>
      <c r="G18" s="649"/>
      <c r="H18" s="650"/>
      <c r="I18" s="548"/>
      <c r="J18" s="549"/>
      <c r="K18" s="549"/>
      <c r="L18" s="549"/>
      <c r="M18" s="550" t="s">
        <v>92</v>
      </c>
      <c r="N18" s="551"/>
      <c r="O18" s="548"/>
      <c r="P18" s="549"/>
      <c r="Q18" s="549"/>
      <c r="R18" s="549"/>
      <c r="S18" s="550" t="s">
        <v>92</v>
      </c>
      <c r="T18" s="551"/>
      <c r="U18" s="548"/>
      <c r="V18" s="549"/>
      <c r="W18" s="549"/>
      <c r="X18" s="549"/>
      <c r="Y18" s="550" t="s">
        <v>92</v>
      </c>
      <c r="Z18" s="551"/>
      <c r="AA18" s="548"/>
      <c r="AB18" s="549"/>
      <c r="AC18" s="549"/>
      <c r="AD18" s="549"/>
      <c r="AE18" s="550" t="s">
        <v>92</v>
      </c>
      <c r="AF18" s="551"/>
      <c r="AG18" s="548"/>
      <c r="AH18" s="549"/>
      <c r="AI18" s="549"/>
      <c r="AJ18" s="549"/>
      <c r="AK18" s="550" t="s">
        <v>92</v>
      </c>
      <c r="AL18" s="551"/>
      <c r="AO18" s="698"/>
      <c r="AP18" s="702"/>
      <c r="AQ18" s="605"/>
      <c r="AR18" s="594"/>
      <c r="AS18" s="560" t="s">
        <v>104</v>
      </c>
      <c r="AT18" s="561"/>
      <c r="AU18" s="561"/>
      <c r="AV18" s="562"/>
      <c r="AW18" s="498"/>
      <c r="AX18" s="499"/>
      <c r="AY18" s="500" t="s">
        <v>101</v>
      </c>
      <c r="AZ18" s="501" t="s">
        <v>93</v>
      </c>
      <c r="BA18" s="502"/>
      <c r="BB18" s="503"/>
      <c r="BC18" s="498"/>
      <c r="BD18" s="499"/>
      <c r="BE18" s="500" t="s">
        <v>101</v>
      </c>
      <c r="BF18" s="501" t="s">
        <v>93</v>
      </c>
      <c r="BG18" s="502"/>
      <c r="BH18" s="503"/>
      <c r="BI18" s="498"/>
      <c r="BJ18" s="499"/>
      <c r="BK18" s="500" t="s">
        <v>101</v>
      </c>
      <c r="BL18" s="501" t="s">
        <v>93</v>
      </c>
      <c r="BM18" s="502"/>
      <c r="BN18" s="503"/>
      <c r="BO18" s="498"/>
      <c r="BP18" s="499"/>
      <c r="BQ18" s="500" t="s">
        <v>101</v>
      </c>
      <c r="BR18" s="501" t="s">
        <v>93</v>
      </c>
      <c r="BS18" s="502"/>
      <c r="BT18" s="503"/>
      <c r="BU18" s="498"/>
      <c r="BV18" s="499"/>
      <c r="BW18" s="500" t="s">
        <v>101</v>
      </c>
      <c r="BX18" s="501" t="s">
        <v>93</v>
      </c>
      <c r="BY18" s="502"/>
      <c r="BZ18" s="503"/>
      <c r="CD18" s="29" t="s">
        <v>374</v>
      </c>
      <c r="CE18" s="332" t="str">
        <f>IF($AW$24="","",$AS$24&amp;$AW$24&amp;$AY$24&amp;TEXT($AZ$25,"[h]:mm"))&amp;IF($AW$26="","",$AS$26&amp;$AW$26&amp;$AY$26&amp;TEXT($AZ$27,"[h]:mm"))&amp;IF($AW$28="","",$AS$28&amp;$AW$28&amp;$AY$28&amp;TEXT($AZ$29,"[h]:mm"))&amp;IF($AW$30="","",$AS$30&amp;$AW$30&amp;$AY$30&amp;TEXT($AZ$31,"[h]:mm"))&amp;IF($AW$32="","",$AS$32&amp;$AW$32&amp;$AY$32&amp;TEXT($AZ$33,"[h]:mm"))</f>
        <v/>
      </c>
      <c r="CF18" s="332" t="str">
        <f>IF($BC$24="","",$AS$24&amp;$BC$24&amp;$BE$24&amp;TEXT($BF$25,"[h]:mm"))&amp;IF($BC$26="","",$AS$26&amp;$BC$26&amp;$BE$26&amp;TEXT($BF$27,"[h]:mm"))&amp;IF($BC$28="","",$AS$28&amp;$BC$28&amp;$BE$28&amp;TEXT($BF$29,"[h]:mm"))&amp;IF($BC$30="","",$AS$30&amp;$BC$30&amp;$BE$30&amp;TEXT($BF$31,"[h]:mm"))&amp;IF($BC$32="","",$AS$32&amp;$BC$32&amp;$BE$32&amp;TEXT($BF$33,"[h]:mm"))</f>
        <v/>
      </c>
      <c r="CG18" s="332" t="str">
        <f>IF($BI$24="","",$AS$24&amp;$BI$24&amp;$BK$24&amp;TEXT($BL$25,"[h]:mm"))&amp;IF($BI$26="","",$AS$26&amp;$BI$26&amp;$BK$26&amp;TEXT($BL$27,"[h]:mm"))&amp;IF($BI$28="","",$AS$28&amp;$BI$28&amp;$BK$28&amp;TEXT($BL$29,"[h]:mm"))&amp;IF($BI$30="","",$AS$30&amp;$BI$30&amp;$BK$30&amp;TEXT($BL$31,"[h]:mm"))&amp;IF($BI$32="","",$AS$32&amp;$BI$32&amp;$BK$32&amp;TEXT($BL$33,"[h]:mm"))</f>
        <v/>
      </c>
      <c r="CH18" s="332" t="str">
        <f>IF($BO$24="","",$AS$24&amp;$BO$24&amp;$BQ$24&amp;TEXT($BR$25,"[h]:mm"))&amp;IF($BO$26="","",$AS$26&amp;$BO$26&amp;$BQ$26&amp;TEXT($BR$27,"[h]:mm"))&amp;IF($BO$28="","",$AS$28&amp;$BO$28&amp;$BQ$28&amp;TEXT($BR$29,"[h]:mm"))&amp;IF($BO$30="","",$AS$30&amp;$BO$30&amp;$BQ$30&amp;TEXT($BR$31,"[h]:mm"))&amp;IF($BO$32="","",$AS$32&amp;$BO$32&amp;$BQ$32&amp;TEXT($BR$33,"[h]:mm"))</f>
        <v/>
      </c>
      <c r="CI18" s="332" t="str">
        <f>IF($BU$24="","",$AS$24&amp;$BU$24&amp;$BW$24&amp;TEXT($BX$25,"[h]:mm"))&amp;IF($BU$26="","",$AS$26&amp;$BU$26&amp;$BW$26&amp;TEXT($BX$27,"[h]:mm"))&amp;IF($BU$28="","",$AS$28&amp;$BU$28&amp;$BW$28&amp;TEXT($BX$29,"[h]:mm"))&amp;IF($BU$30="","",$AS$30&amp;$BU$30&amp;$BW$30&amp;TEXT($BX$31,"[h]:mm"))&amp;IF($BU$32="","",$AS$32&amp;$BU$32&amp;$BW$32&amp;TEXT($BX$33,"[h]:mm"))</f>
        <v/>
      </c>
    </row>
    <row r="19" spans="1:87" ht="22.9" customHeight="1" thickBot="1">
      <c r="A19" s="631"/>
      <c r="B19" s="640"/>
      <c r="C19" s="641"/>
      <c r="D19" s="642"/>
      <c r="E19" s="646" t="s">
        <v>270</v>
      </c>
      <c r="F19" s="647"/>
      <c r="G19" s="647"/>
      <c r="H19" s="648"/>
      <c r="I19" s="694" t="str">
        <f>IF(I17="","","屋外炊事場")</f>
        <v/>
      </c>
      <c r="J19" s="695"/>
      <c r="K19" s="696"/>
      <c r="L19" s="692"/>
      <c r="M19" s="692"/>
      <c r="N19" s="693"/>
      <c r="O19" s="694" t="str">
        <f>IF(O17="","","屋外炊事場")</f>
        <v/>
      </c>
      <c r="P19" s="695"/>
      <c r="Q19" s="696"/>
      <c r="R19" s="692"/>
      <c r="S19" s="692"/>
      <c r="T19" s="693"/>
      <c r="U19" s="694" t="str">
        <f>IF(U17="","","屋外炊事場")</f>
        <v/>
      </c>
      <c r="V19" s="695"/>
      <c r="W19" s="696"/>
      <c r="X19" s="692"/>
      <c r="Y19" s="692"/>
      <c r="Z19" s="693"/>
      <c r="AA19" s="694" t="str">
        <f>IF(AA17="","","屋外炊事場")</f>
        <v/>
      </c>
      <c r="AB19" s="695"/>
      <c r="AC19" s="696"/>
      <c r="AD19" s="692"/>
      <c r="AE19" s="692"/>
      <c r="AF19" s="693"/>
      <c r="AG19" s="694" t="str">
        <f>IF(AG17="","","屋外炊事場")</f>
        <v/>
      </c>
      <c r="AH19" s="695"/>
      <c r="AI19" s="696"/>
      <c r="AJ19" s="692"/>
      <c r="AK19" s="692"/>
      <c r="AL19" s="693"/>
      <c r="AO19" s="698"/>
      <c r="AP19" s="702"/>
      <c r="AQ19" s="605"/>
      <c r="AR19" s="594"/>
      <c r="AS19" s="563"/>
      <c r="AT19" s="564"/>
      <c r="AU19" s="564"/>
      <c r="AV19" s="565"/>
      <c r="AW19" s="498"/>
      <c r="AX19" s="499"/>
      <c r="AY19" s="500"/>
      <c r="AZ19" s="495"/>
      <c r="BA19" s="496"/>
      <c r="BB19" s="497"/>
      <c r="BC19" s="498"/>
      <c r="BD19" s="499"/>
      <c r="BE19" s="500"/>
      <c r="BF19" s="495"/>
      <c r="BG19" s="496"/>
      <c r="BH19" s="497"/>
      <c r="BI19" s="498"/>
      <c r="BJ19" s="499"/>
      <c r="BK19" s="500"/>
      <c r="BL19" s="495"/>
      <c r="BM19" s="496"/>
      <c r="BN19" s="497"/>
      <c r="BO19" s="498"/>
      <c r="BP19" s="499"/>
      <c r="BQ19" s="500"/>
      <c r="BR19" s="495"/>
      <c r="BS19" s="496"/>
      <c r="BT19" s="497"/>
      <c r="BU19" s="498"/>
      <c r="BV19" s="499"/>
      <c r="BW19" s="500"/>
      <c r="BX19" s="495"/>
      <c r="BY19" s="496"/>
      <c r="BZ19" s="497"/>
      <c r="CD19" s="29" t="s">
        <v>377</v>
      </c>
      <c r="CE19" s="332" t="str">
        <f>IF($AW$34="","",$AS$34&amp;$AW$34&amp;$AY$34&amp;TEXT($AZ$35,"[h]:mm"))&amp;IF($AW$36="","",$AS$36&amp;$AW$36&amp;$AY$36&amp;TEXT($AZ$37,"[h]:mm"))&amp;IF($AW$38="","",$AS$38&amp;$AW$38&amp;$AY$38&amp;TEXT($AZ$39,"[h]:mm"))&amp;IF($AW$40="","",$AS$40&amp;$AW$40&amp;$AY$40&amp;TEXT($AZ$41,"[h]:mm"))&amp;IF($AW$42="","",$AS$42&amp;$AW$42&amp;$AY$42&amp;TEXT($AZ$43,"[h]:mm"))&amp;IF($AW$44="","",$AS$44&amp;$AW$44&amp;$AY$44&amp;TEXT($AZ$45,"[h]:mm"))</f>
        <v/>
      </c>
      <c r="CF19" s="332" t="str">
        <f>IF($BC$34="","",$AS$34&amp;$BC$34&amp;$BE$34&amp;TEXT($BF$35,"[h]:mm"))&amp;IF($BC$36="","",$AS$36&amp;$BC$36&amp;$BE$36&amp;TEXT($BF$37,"[h]:mm"))&amp;IF($BC$38="","",$AS$38&amp;$BC$38&amp;$BE$38&amp;TEXT($BF$39,"[h]:mm"))&amp;IF($BC$40="","",$AS$40&amp;$BC$40&amp;$BE$40&amp;TEXT($BF$41,"[h]:mm"))&amp;IF($BC$42="","",$AS$42&amp;$BC$42&amp;$BE$42&amp;TEXT($BF$43,"[h]:mm"))&amp;IF($BC$44="","",$AS$44&amp;$BC$44&amp;$BE$44&amp;TEXT($BF$45,"[h]:mm"))</f>
        <v/>
      </c>
      <c r="CG19" s="332" t="str">
        <f>IF($BI$34="","",$AS$34&amp;$BI$34&amp;$BK$34&amp;TEXT($BL$35,"[h]:mm"))&amp;IF($BI$36="","",$AS$36&amp;$BI$36&amp;$BK$36&amp;TEXT($BL$37,"[h]:mm"))&amp;IF($BI$38="","",$AS$38&amp;$BI$38&amp;$BK$38&amp;TEXT($BL$39,"[h]:mm"))&amp;IF($BI$40="","",$AS$40&amp;$BI$40&amp;$BK$40&amp;TEXT($BL$41,"[h]:mm"))&amp;IF($BI$42="","",$AS$42&amp;$BI$42&amp;$BK$42&amp;TEXT($BL$43,"[h]:mm"))&amp;IF($BI$44="","",$AS$44&amp;$BI$44&amp;$BK$44&amp;TEXT($BL$45,"[h]:mm"))</f>
        <v/>
      </c>
      <c r="CH19" s="332" t="str">
        <f>IF($BO$34="","",$AS$34&amp;$BO$34&amp;$BQ$34&amp;TEXT($BR$35,"[h]:mm"))&amp;IF($BO$36="","",$AS$36&amp;$BO$36&amp;$BQ$36&amp;TEXT($BR$37,"[h]:mm"))&amp;IF($BO$38="","",$AS$38&amp;$BO$38&amp;$BQ$38&amp;TEXT($BR$39,"[h]:mm"))&amp;IF($BO$40="","",$AS$40&amp;$BO$40&amp;$BQ$40&amp;TEXT($BR$41,"[h]:mm"))&amp;IF($BO$42="","",$AS$42&amp;$BO$42&amp;$BQ$42&amp;TEXT($BR$43,"[h]:mm"))&amp;IF($BO$44="","",$AS$44&amp;$BO$44&amp;$BQ$44&amp;TEXT($BR$45,"[h]:mm"))</f>
        <v/>
      </c>
      <c r="CI19" s="332" t="str">
        <f>IF($BU$34="","",$AS$34&amp;$BU$34&amp;$BW$34&amp;TEXT($BX$35,"[h]:mm"))&amp;IF($BU$36="","",$AS$36&amp;$BU$36&amp;$BW$36&amp;TEXT($BX$37,"[h]:mm"))&amp;IF($BU$38="","",$AS$38&amp;$BU$38&amp;$BW$38&amp;TEXT($BX$39,"[h]:mm"))&amp;IF($BU$40="","",$AS$40&amp;$BU$40&amp;$BW$40&amp;TEXT($BX$41,"[h]:mm"))&amp;IF($BU$42="","",$AS$42&amp;$BU$42&amp;$BW$42&amp;TEXT($BX$43,"[h]:mm"))&amp;IF($BU$44="","",$AS$44&amp;$BU$44&amp;$BW$44&amp;TEXT($BX$45,"[h]:mm"))</f>
        <v/>
      </c>
    </row>
    <row r="20" spans="1:87" ht="22.9" customHeight="1">
      <c r="A20" s="631"/>
      <c r="B20" s="634" t="s">
        <v>361</v>
      </c>
      <c r="C20" s="635"/>
      <c r="D20" s="636"/>
      <c r="E20" s="649" t="s">
        <v>90</v>
      </c>
      <c r="F20" s="649"/>
      <c r="G20" s="649"/>
      <c r="H20" s="650"/>
      <c r="I20" s="643"/>
      <c r="J20" s="644"/>
      <c r="K20" s="644"/>
      <c r="L20" s="644"/>
      <c r="M20" s="644"/>
      <c r="N20" s="645"/>
      <c r="O20" s="643"/>
      <c r="P20" s="644"/>
      <c r="Q20" s="644"/>
      <c r="R20" s="644"/>
      <c r="S20" s="644"/>
      <c r="T20" s="645"/>
      <c r="U20" s="643"/>
      <c r="V20" s="644"/>
      <c r="W20" s="644"/>
      <c r="X20" s="644"/>
      <c r="Y20" s="644"/>
      <c r="Z20" s="645"/>
      <c r="AA20" s="643"/>
      <c r="AB20" s="644"/>
      <c r="AC20" s="644"/>
      <c r="AD20" s="644"/>
      <c r="AE20" s="644"/>
      <c r="AF20" s="645"/>
      <c r="AG20" s="643"/>
      <c r="AH20" s="644"/>
      <c r="AI20" s="644"/>
      <c r="AJ20" s="644"/>
      <c r="AK20" s="644"/>
      <c r="AL20" s="645"/>
      <c r="AO20" s="698"/>
      <c r="AP20" s="702"/>
      <c r="AQ20" s="605"/>
      <c r="AR20" s="594"/>
      <c r="AS20" s="560" t="s">
        <v>103</v>
      </c>
      <c r="AT20" s="561"/>
      <c r="AU20" s="561"/>
      <c r="AV20" s="562"/>
      <c r="AW20" s="498"/>
      <c r="AX20" s="499"/>
      <c r="AY20" s="500" t="s">
        <v>101</v>
      </c>
      <c r="AZ20" s="501" t="s">
        <v>93</v>
      </c>
      <c r="BA20" s="502"/>
      <c r="BB20" s="503"/>
      <c r="BC20" s="498"/>
      <c r="BD20" s="499"/>
      <c r="BE20" s="500" t="s">
        <v>101</v>
      </c>
      <c r="BF20" s="501" t="s">
        <v>93</v>
      </c>
      <c r="BG20" s="502"/>
      <c r="BH20" s="503"/>
      <c r="BI20" s="498"/>
      <c r="BJ20" s="499"/>
      <c r="BK20" s="500" t="s">
        <v>101</v>
      </c>
      <c r="BL20" s="501" t="s">
        <v>93</v>
      </c>
      <c r="BM20" s="502"/>
      <c r="BN20" s="503"/>
      <c r="BO20" s="498"/>
      <c r="BP20" s="499"/>
      <c r="BQ20" s="500" t="s">
        <v>101</v>
      </c>
      <c r="BR20" s="501" t="s">
        <v>93</v>
      </c>
      <c r="BS20" s="502"/>
      <c r="BT20" s="503"/>
      <c r="BU20" s="498"/>
      <c r="BV20" s="499"/>
      <c r="BW20" s="500" t="s">
        <v>101</v>
      </c>
      <c r="BX20" s="501" t="s">
        <v>93</v>
      </c>
      <c r="BY20" s="502"/>
      <c r="BZ20" s="503"/>
      <c r="CD20" s="29" t="s">
        <v>369</v>
      </c>
      <c r="CE20" s="332" t="str">
        <f>IF($AW$46="","",$AS$46&amp;$AW$46&amp;$AY$46&amp;TEXT($AZ$47,"[h]:mm"))&amp;IF($AW$48="","",$AS$48&amp;$AW$48&amp;$AY$48&amp;TEXT($AZ$49,"[h]:mm"))</f>
        <v/>
      </c>
      <c r="CF20" s="332" t="str">
        <f>IF($BC$46="","",$AS$46&amp;$BC$46&amp;$BE$46&amp;TEXT($BF$47,"[h]:mm"))&amp;IF($BC$48="","",$AS$48&amp;$BC$48&amp;$BE$48&amp;TEXT($BF$49,"[h]:mm"))</f>
        <v/>
      </c>
      <c r="CG20" s="332" t="str">
        <f>IF($BI$46="","",$AS$46&amp;$BI$46&amp;$BK$46&amp;TEXT($BL$47,"[h]:mm"))&amp;IF($BI$48="","",$AS$48&amp;$BI$48&amp;$BK$48&amp;TEXT($BL$49,"[h]:mm"))</f>
        <v/>
      </c>
      <c r="CH20" s="332" t="str">
        <f>IF($BO$46="","",$AS$46&amp;$BO$46&amp;$BQ$46&amp;TEXT($BR$47,"[h]:mm"))&amp;IF($BO$48="","",$AS$48&amp;$BO$48&amp;$BQ$48&amp;TEXT($BR$49,"[h]:mm"))</f>
        <v/>
      </c>
      <c r="CI20" s="332" t="str">
        <f>IF($BU$46="","",$AS$46&amp;$BU$46&amp;$BW$46&amp;TEXT($BX$47,"[h]:mm"))&amp;IF($BU$48="","",$AS$48&amp;$BU$48&amp;$BW$48&amp;TEXT($BX$49,"[h]:mm"))</f>
        <v/>
      </c>
    </row>
    <row r="21" spans="1:87" ht="22.9" customHeight="1" thickBot="1">
      <c r="A21" s="631"/>
      <c r="B21" s="637"/>
      <c r="C21" s="638"/>
      <c r="D21" s="639"/>
      <c r="E21" s="649" t="s">
        <v>91</v>
      </c>
      <c r="F21" s="649"/>
      <c r="G21" s="649"/>
      <c r="H21" s="650"/>
      <c r="I21" s="548"/>
      <c r="J21" s="549"/>
      <c r="K21" s="549"/>
      <c r="L21" s="549"/>
      <c r="M21" s="550" t="s">
        <v>92</v>
      </c>
      <c r="N21" s="551"/>
      <c r="O21" s="548"/>
      <c r="P21" s="549"/>
      <c r="Q21" s="549"/>
      <c r="R21" s="549"/>
      <c r="S21" s="550" t="s">
        <v>92</v>
      </c>
      <c r="T21" s="551"/>
      <c r="U21" s="548"/>
      <c r="V21" s="549"/>
      <c r="W21" s="549"/>
      <c r="X21" s="549"/>
      <c r="Y21" s="550" t="s">
        <v>92</v>
      </c>
      <c r="Z21" s="551"/>
      <c r="AA21" s="548"/>
      <c r="AB21" s="549"/>
      <c r="AC21" s="549"/>
      <c r="AD21" s="549"/>
      <c r="AE21" s="550" t="s">
        <v>92</v>
      </c>
      <c r="AF21" s="551"/>
      <c r="AG21" s="548"/>
      <c r="AH21" s="549"/>
      <c r="AI21" s="549"/>
      <c r="AJ21" s="549"/>
      <c r="AK21" s="550" t="s">
        <v>92</v>
      </c>
      <c r="AL21" s="551"/>
      <c r="AO21" s="698"/>
      <c r="AP21" s="702"/>
      <c r="AQ21" s="605"/>
      <c r="AR21" s="594"/>
      <c r="AS21" s="563"/>
      <c r="AT21" s="564"/>
      <c r="AU21" s="564"/>
      <c r="AV21" s="565"/>
      <c r="AW21" s="498"/>
      <c r="AX21" s="499"/>
      <c r="AY21" s="500"/>
      <c r="AZ21" s="495"/>
      <c r="BA21" s="496"/>
      <c r="BB21" s="497"/>
      <c r="BC21" s="498"/>
      <c r="BD21" s="499"/>
      <c r="BE21" s="500"/>
      <c r="BF21" s="495"/>
      <c r="BG21" s="496"/>
      <c r="BH21" s="497"/>
      <c r="BI21" s="498"/>
      <c r="BJ21" s="499"/>
      <c r="BK21" s="500"/>
      <c r="BL21" s="495"/>
      <c r="BM21" s="496"/>
      <c r="BN21" s="497"/>
      <c r="BO21" s="498"/>
      <c r="BP21" s="499"/>
      <c r="BQ21" s="500"/>
      <c r="BR21" s="495"/>
      <c r="BS21" s="496"/>
      <c r="BT21" s="497"/>
      <c r="BU21" s="498"/>
      <c r="BV21" s="499"/>
      <c r="BW21" s="500"/>
      <c r="BX21" s="495"/>
      <c r="BY21" s="496"/>
      <c r="BZ21" s="497"/>
      <c r="CD21" s="29" t="s">
        <v>275</v>
      </c>
      <c r="CE21" s="333" t="str">
        <f>IF($AW$54="","",$AS$54&amp;$AW$54&amp;$AY$54&amp;TEXT($AZ$55,"[h]:mm"))&amp;IF($AW$56="","",$AS$56&amp;$AW$56&amp;$AY$56&amp;TEXT($AZ$57,"[h]:mm"))&amp;IF($AW$58="","",$AS$58&amp;$AW$58&amp;$AY$58&amp;TEXT($AZ$59,"[h]:mm"))&amp;IF($AW$60="","",$AS$60&amp;$AW$60&amp;$AY$60&amp;TEXT($AZ$61,"[h]:mm"))</f>
        <v/>
      </c>
      <c r="CF21" s="333" t="str">
        <f>IF($BC$54="","",$AS$54&amp;$BC$54&amp;$BE$54&amp;TEXT($BF$55,"[h]:mm"))&amp;IF($BC$56="","",$AS$56&amp;$BC$56&amp;$BE$56&amp;TEXT($BF$57,"[h]:mm"))&amp;IF($BC$58="","",$AS$58&amp;$BC$58&amp;$BE$58&amp;TEXT($BF$59,"[h]:mm"))&amp;IF($BC$60="","",$AS$60&amp;$BC$60&amp;$BE$60&amp;TEXT($BF$61,"[h]:mm"))</f>
        <v/>
      </c>
      <c r="CG21" s="333" t="str">
        <f>IF($BI$54="","",$AS$54&amp;$BI$54&amp;$BK$54&amp;TEXT($BL$55,"[h]:mm"))&amp;IF($BI$56="","",$AS$56&amp;$BI$56&amp;$BK$56&amp;TEXT($BL$57,"[h]:mm"))&amp;IF($BI$58="","",$AS$58&amp;$BI$58&amp;$BK$58&amp;TEXT($BL$59,"[h]:mm"))&amp;IF($BI$60="","",$AS$60&amp;$BI$60&amp;$BK$60&amp;TEXT($BL$61,"[h]:mm"))</f>
        <v/>
      </c>
      <c r="CH21" s="333" t="str">
        <f>IF($BO$54="","",$AS$54&amp;$BO$54&amp;$BQ$54&amp;TEXT($BR$55,"[h]:mm"))&amp;IF($BO$56="","",$AS$56&amp;$BO$56&amp;$BQ$56&amp;TEXT($BR$57,"[h]:mm"))&amp;IF($BO$58="","",$AS$58&amp;$BO$58&amp;$BQ$58&amp;TEXT($BR$59,"[h]:mm"))&amp;IF($BO$60="","",$AS$60&amp;$BO$60&amp;$BQ$60&amp;TEXT($BR$61,"[h]:mm"))</f>
        <v/>
      </c>
      <c r="CI21" s="333" t="str">
        <f>IF($BU$54="","",$AS$54&amp;$BU$54&amp;$BW$54&amp;TEXT($BX$55,"[h]:mm"))&amp;IF($BU$56="","",$AS$56&amp;$BU$56&amp;$BW$56&amp;TEXT($BX$57,"[h]:mm"))&amp;IF($BU$58="","",$AS$58&amp;$BU$58&amp;$BW$58&amp;TEXT($BX$59,"[h]:mm"))&amp;IF($BU$60="","",$AS$60&amp;$BU$60&amp;$BW$60&amp;TEXT($BX$61,"[h]:mm"))</f>
        <v/>
      </c>
    </row>
    <row r="22" spans="1:87" ht="22.9" customHeight="1" thickBot="1">
      <c r="A22" s="631"/>
      <c r="B22" s="640"/>
      <c r="C22" s="641"/>
      <c r="D22" s="642"/>
      <c r="E22" s="646" t="s">
        <v>270</v>
      </c>
      <c r="F22" s="647"/>
      <c r="G22" s="647"/>
      <c r="H22" s="648"/>
      <c r="I22" s="694" t="str">
        <f>IF(I20="","","屋外炊事場")</f>
        <v/>
      </c>
      <c r="J22" s="695"/>
      <c r="K22" s="696"/>
      <c r="L22" s="692"/>
      <c r="M22" s="692"/>
      <c r="N22" s="693"/>
      <c r="O22" s="694" t="str">
        <f>IF(O20="","","屋外炊事場")</f>
        <v/>
      </c>
      <c r="P22" s="695"/>
      <c r="Q22" s="696"/>
      <c r="R22" s="692"/>
      <c r="S22" s="692"/>
      <c r="T22" s="693"/>
      <c r="U22" s="694" t="str">
        <f>IF(U20="","","屋外炊事場")</f>
        <v/>
      </c>
      <c r="V22" s="695"/>
      <c r="W22" s="696"/>
      <c r="X22" s="692"/>
      <c r="Y22" s="692"/>
      <c r="Z22" s="693"/>
      <c r="AA22" s="694" t="str">
        <f>IF(AA20="","","屋外炊事場")</f>
        <v/>
      </c>
      <c r="AB22" s="695"/>
      <c r="AC22" s="696"/>
      <c r="AD22" s="692"/>
      <c r="AE22" s="692"/>
      <c r="AF22" s="693"/>
      <c r="AG22" s="694" t="str">
        <f>IF(AG20="","","屋外炊事場")</f>
        <v/>
      </c>
      <c r="AH22" s="695"/>
      <c r="AI22" s="696"/>
      <c r="AJ22" s="692"/>
      <c r="AK22" s="692"/>
      <c r="AL22" s="693"/>
      <c r="AO22" s="698"/>
      <c r="AP22" s="702"/>
      <c r="AQ22" s="605"/>
      <c r="AR22" s="329"/>
      <c r="AS22" s="560" t="s">
        <v>103</v>
      </c>
      <c r="AT22" s="561"/>
      <c r="AU22" s="561"/>
      <c r="AV22" s="562"/>
      <c r="AW22" s="498"/>
      <c r="AX22" s="499"/>
      <c r="AY22" s="500" t="s">
        <v>101</v>
      </c>
      <c r="AZ22" s="501" t="s">
        <v>93</v>
      </c>
      <c r="BA22" s="502"/>
      <c r="BB22" s="503"/>
      <c r="BC22" s="498"/>
      <c r="BD22" s="499"/>
      <c r="BE22" s="500" t="s">
        <v>101</v>
      </c>
      <c r="BF22" s="501" t="s">
        <v>93</v>
      </c>
      <c r="BG22" s="502"/>
      <c r="BH22" s="503"/>
      <c r="BI22" s="498"/>
      <c r="BJ22" s="499"/>
      <c r="BK22" s="500" t="s">
        <v>101</v>
      </c>
      <c r="BL22" s="501" t="s">
        <v>93</v>
      </c>
      <c r="BM22" s="502"/>
      <c r="BN22" s="503"/>
      <c r="BO22" s="498"/>
      <c r="BP22" s="499"/>
      <c r="BQ22" s="500" t="s">
        <v>101</v>
      </c>
      <c r="BR22" s="501" t="s">
        <v>93</v>
      </c>
      <c r="BS22" s="502"/>
      <c r="BT22" s="503"/>
      <c r="BU22" s="498"/>
      <c r="BV22" s="499"/>
      <c r="BW22" s="500" t="s">
        <v>101</v>
      </c>
      <c r="BX22" s="501" t="s">
        <v>93</v>
      </c>
      <c r="BY22" s="502"/>
      <c r="BZ22" s="503"/>
    </row>
    <row r="23" spans="1:87" ht="22.9" customHeight="1" thickBot="1">
      <c r="A23" s="631"/>
      <c r="B23" s="634" t="s">
        <v>114</v>
      </c>
      <c r="C23" s="635"/>
      <c r="D23" s="636"/>
      <c r="E23" s="649" t="s">
        <v>90</v>
      </c>
      <c r="F23" s="649"/>
      <c r="G23" s="649"/>
      <c r="H23" s="650"/>
      <c r="I23" s="643"/>
      <c r="J23" s="644"/>
      <c r="K23" s="644"/>
      <c r="L23" s="644"/>
      <c r="M23" s="644"/>
      <c r="N23" s="645"/>
      <c r="O23" s="643"/>
      <c r="P23" s="644"/>
      <c r="Q23" s="644"/>
      <c r="R23" s="644"/>
      <c r="S23" s="644"/>
      <c r="T23" s="645"/>
      <c r="U23" s="643"/>
      <c r="V23" s="644"/>
      <c r="W23" s="644"/>
      <c r="X23" s="644"/>
      <c r="Y23" s="644"/>
      <c r="Z23" s="645"/>
      <c r="AA23" s="643"/>
      <c r="AB23" s="644"/>
      <c r="AC23" s="644"/>
      <c r="AD23" s="644"/>
      <c r="AE23" s="644"/>
      <c r="AF23" s="645"/>
      <c r="AG23" s="643"/>
      <c r="AH23" s="644"/>
      <c r="AI23" s="644"/>
      <c r="AJ23" s="644"/>
      <c r="AK23" s="644"/>
      <c r="AL23" s="645"/>
      <c r="AO23" s="698"/>
      <c r="AP23" s="702"/>
      <c r="AQ23" s="605"/>
      <c r="AR23" s="330"/>
      <c r="AS23" s="588"/>
      <c r="AT23" s="589"/>
      <c r="AU23" s="589"/>
      <c r="AV23" s="590"/>
      <c r="AW23" s="521"/>
      <c r="AX23" s="522"/>
      <c r="AY23" s="510"/>
      <c r="AZ23" s="514"/>
      <c r="BA23" s="515"/>
      <c r="BB23" s="516"/>
      <c r="BC23" s="521"/>
      <c r="BD23" s="522"/>
      <c r="BE23" s="510"/>
      <c r="BF23" s="514"/>
      <c r="BG23" s="515"/>
      <c r="BH23" s="516"/>
      <c r="BI23" s="521"/>
      <c r="BJ23" s="522"/>
      <c r="BK23" s="510"/>
      <c r="BL23" s="514"/>
      <c r="BM23" s="515"/>
      <c r="BN23" s="516"/>
      <c r="BO23" s="521"/>
      <c r="BP23" s="522"/>
      <c r="BQ23" s="510"/>
      <c r="BR23" s="514"/>
      <c r="BS23" s="515"/>
      <c r="BT23" s="516"/>
      <c r="BU23" s="521"/>
      <c r="BV23" s="522"/>
      <c r="BW23" s="510"/>
      <c r="BX23" s="514"/>
      <c r="BY23" s="515"/>
      <c r="BZ23" s="516"/>
    </row>
    <row r="24" spans="1:87" ht="22.9" customHeight="1">
      <c r="A24" s="631"/>
      <c r="B24" s="637"/>
      <c r="C24" s="638"/>
      <c r="D24" s="639"/>
      <c r="E24" s="649" t="s">
        <v>91</v>
      </c>
      <c r="F24" s="649"/>
      <c r="G24" s="649"/>
      <c r="H24" s="650"/>
      <c r="I24" s="548"/>
      <c r="J24" s="549"/>
      <c r="K24" s="549"/>
      <c r="L24" s="549"/>
      <c r="M24" s="550" t="s">
        <v>92</v>
      </c>
      <c r="N24" s="551"/>
      <c r="O24" s="548"/>
      <c r="P24" s="549"/>
      <c r="Q24" s="549"/>
      <c r="R24" s="549"/>
      <c r="S24" s="550" t="s">
        <v>92</v>
      </c>
      <c r="T24" s="551"/>
      <c r="U24" s="548"/>
      <c r="V24" s="549"/>
      <c r="W24" s="549"/>
      <c r="X24" s="549"/>
      <c r="Y24" s="550" t="s">
        <v>92</v>
      </c>
      <c r="Z24" s="551"/>
      <c r="AA24" s="548"/>
      <c r="AB24" s="549"/>
      <c r="AC24" s="549"/>
      <c r="AD24" s="549"/>
      <c r="AE24" s="550" t="s">
        <v>92</v>
      </c>
      <c r="AF24" s="551"/>
      <c r="AG24" s="548"/>
      <c r="AH24" s="549"/>
      <c r="AI24" s="549"/>
      <c r="AJ24" s="549"/>
      <c r="AK24" s="550" t="s">
        <v>92</v>
      </c>
      <c r="AL24" s="551"/>
      <c r="AO24" s="698"/>
      <c r="AP24" s="702"/>
      <c r="AQ24" s="605"/>
      <c r="AR24" s="593" t="s">
        <v>122</v>
      </c>
      <c r="AS24" s="574" t="s">
        <v>98</v>
      </c>
      <c r="AT24" s="575"/>
      <c r="AU24" s="575"/>
      <c r="AV24" s="576"/>
      <c r="AW24" s="690"/>
      <c r="AX24" s="691"/>
      <c r="AY24" s="689" t="s">
        <v>101</v>
      </c>
      <c r="AZ24" s="517" t="s">
        <v>93</v>
      </c>
      <c r="BA24" s="484"/>
      <c r="BB24" s="485"/>
      <c r="BC24" s="690"/>
      <c r="BD24" s="691"/>
      <c r="BE24" s="689" t="s">
        <v>101</v>
      </c>
      <c r="BF24" s="517" t="s">
        <v>93</v>
      </c>
      <c r="BG24" s="484"/>
      <c r="BH24" s="485"/>
      <c r="BI24" s="690"/>
      <c r="BJ24" s="691"/>
      <c r="BK24" s="689" t="s">
        <v>101</v>
      </c>
      <c r="BL24" s="517" t="s">
        <v>93</v>
      </c>
      <c r="BM24" s="484"/>
      <c r="BN24" s="485"/>
      <c r="BO24" s="690"/>
      <c r="BP24" s="691"/>
      <c r="BQ24" s="689" t="s">
        <v>101</v>
      </c>
      <c r="BR24" s="517" t="s">
        <v>93</v>
      </c>
      <c r="BS24" s="484"/>
      <c r="BT24" s="485"/>
      <c r="BU24" s="690"/>
      <c r="BV24" s="691"/>
      <c r="BW24" s="689" t="s">
        <v>101</v>
      </c>
      <c r="BX24" s="517" t="s">
        <v>93</v>
      </c>
      <c r="BY24" s="484"/>
      <c r="BZ24" s="485"/>
    </row>
    <row r="25" spans="1:87" ht="22.9" customHeight="1" thickBot="1">
      <c r="A25" s="631"/>
      <c r="B25" s="640"/>
      <c r="C25" s="641"/>
      <c r="D25" s="642"/>
      <c r="E25" s="646" t="s">
        <v>270</v>
      </c>
      <c r="F25" s="647"/>
      <c r="G25" s="647"/>
      <c r="H25" s="648"/>
      <c r="I25" s="506"/>
      <c r="J25" s="507"/>
      <c r="K25" s="553"/>
      <c r="L25" s="692"/>
      <c r="M25" s="692"/>
      <c r="N25" s="693"/>
      <c r="O25" s="506"/>
      <c r="P25" s="507"/>
      <c r="Q25" s="553"/>
      <c r="R25" s="692"/>
      <c r="S25" s="692"/>
      <c r="T25" s="693"/>
      <c r="U25" s="506"/>
      <c r="V25" s="507"/>
      <c r="W25" s="553"/>
      <c r="X25" s="692"/>
      <c r="Y25" s="692"/>
      <c r="Z25" s="693"/>
      <c r="AA25" s="506"/>
      <c r="AB25" s="507"/>
      <c r="AC25" s="553"/>
      <c r="AD25" s="692"/>
      <c r="AE25" s="692"/>
      <c r="AF25" s="693"/>
      <c r="AG25" s="506"/>
      <c r="AH25" s="507"/>
      <c r="AI25" s="553"/>
      <c r="AJ25" s="692"/>
      <c r="AK25" s="692"/>
      <c r="AL25" s="693"/>
      <c r="AO25" s="698"/>
      <c r="AP25" s="702"/>
      <c r="AQ25" s="605"/>
      <c r="AR25" s="594"/>
      <c r="AS25" s="563"/>
      <c r="AT25" s="564"/>
      <c r="AU25" s="564"/>
      <c r="AV25" s="565"/>
      <c r="AW25" s="539"/>
      <c r="AX25" s="540"/>
      <c r="AY25" s="554"/>
      <c r="AZ25" s="523"/>
      <c r="BA25" s="524"/>
      <c r="BB25" s="525"/>
      <c r="BC25" s="539"/>
      <c r="BD25" s="540"/>
      <c r="BE25" s="554"/>
      <c r="BF25" s="523"/>
      <c r="BG25" s="524"/>
      <c r="BH25" s="525"/>
      <c r="BI25" s="539"/>
      <c r="BJ25" s="540"/>
      <c r="BK25" s="554"/>
      <c r="BL25" s="523"/>
      <c r="BM25" s="524"/>
      <c r="BN25" s="525"/>
      <c r="BO25" s="539"/>
      <c r="BP25" s="540"/>
      <c r="BQ25" s="554"/>
      <c r="BR25" s="523"/>
      <c r="BS25" s="524"/>
      <c r="BT25" s="525"/>
      <c r="BU25" s="539"/>
      <c r="BV25" s="540"/>
      <c r="BW25" s="554"/>
      <c r="BX25" s="523"/>
      <c r="BY25" s="524"/>
      <c r="BZ25" s="525"/>
    </row>
    <row r="26" spans="1:87" ht="22.9" customHeight="1">
      <c r="A26" s="631"/>
      <c r="B26" s="634" t="s">
        <v>113</v>
      </c>
      <c r="C26" s="635"/>
      <c r="D26" s="636"/>
      <c r="E26" s="649" t="s">
        <v>90</v>
      </c>
      <c r="F26" s="649"/>
      <c r="G26" s="649"/>
      <c r="H26" s="650"/>
      <c r="I26" s="643"/>
      <c r="J26" s="644"/>
      <c r="K26" s="644"/>
      <c r="L26" s="644"/>
      <c r="M26" s="644"/>
      <c r="N26" s="645"/>
      <c r="O26" s="545"/>
      <c r="P26" s="546"/>
      <c r="Q26" s="546"/>
      <c r="R26" s="546"/>
      <c r="S26" s="546"/>
      <c r="T26" s="547"/>
      <c r="U26" s="545"/>
      <c r="V26" s="546"/>
      <c r="W26" s="546"/>
      <c r="X26" s="546"/>
      <c r="Y26" s="546"/>
      <c r="Z26" s="547"/>
      <c r="AA26" s="545"/>
      <c r="AB26" s="546"/>
      <c r="AC26" s="546"/>
      <c r="AD26" s="546"/>
      <c r="AE26" s="546"/>
      <c r="AF26" s="547"/>
      <c r="AG26" s="545"/>
      <c r="AH26" s="546"/>
      <c r="AI26" s="546"/>
      <c r="AJ26" s="546"/>
      <c r="AK26" s="546"/>
      <c r="AL26" s="547"/>
      <c r="AO26" s="698"/>
      <c r="AP26" s="702"/>
      <c r="AQ26" s="605"/>
      <c r="AR26" s="594"/>
      <c r="AS26" s="560" t="s">
        <v>100</v>
      </c>
      <c r="AT26" s="561"/>
      <c r="AU26" s="561"/>
      <c r="AV26" s="562"/>
      <c r="AW26" s="498"/>
      <c r="AX26" s="499"/>
      <c r="AY26" s="500" t="s">
        <v>101</v>
      </c>
      <c r="AZ26" s="501" t="s">
        <v>93</v>
      </c>
      <c r="BA26" s="502"/>
      <c r="BB26" s="503"/>
      <c r="BC26" s="498"/>
      <c r="BD26" s="499"/>
      <c r="BE26" s="500" t="s">
        <v>101</v>
      </c>
      <c r="BF26" s="501" t="s">
        <v>93</v>
      </c>
      <c r="BG26" s="502"/>
      <c r="BH26" s="503"/>
      <c r="BI26" s="498"/>
      <c r="BJ26" s="499"/>
      <c r="BK26" s="500" t="s">
        <v>101</v>
      </c>
      <c r="BL26" s="501" t="s">
        <v>93</v>
      </c>
      <c r="BM26" s="502"/>
      <c r="BN26" s="503"/>
      <c r="BO26" s="498"/>
      <c r="BP26" s="499"/>
      <c r="BQ26" s="500" t="s">
        <v>101</v>
      </c>
      <c r="BR26" s="501" t="s">
        <v>93</v>
      </c>
      <c r="BS26" s="502"/>
      <c r="BT26" s="503"/>
      <c r="BU26" s="498"/>
      <c r="BV26" s="499"/>
      <c r="BW26" s="500" t="s">
        <v>101</v>
      </c>
      <c r="BX26" s="501" t="s">
        <v>93</v>
      </c>
      <c r="BY26" s="502"/>
      <c r="BZ26" s="503"/>
    </row>
    <row r="27" spans="1:87" ht="22.9" customHeight="1">
      <c r="A27" s="631"/>
      <c r="B27" s="637"/>
      <c r="C27" s="638"/>
      <c r="D27" s="639"/>
      <c r="E27" s="649" t="s">
        <v>91</v>
      </c>
      <c r="F27" s="649"/>
      <c r="G27" s="649"/>
      <c r="H27" s="650"/>
      <c r="I27" s="548"/>
      <c r="J27" s="549"/>
      <c r="K27" s="549"/>
      <c r="L27" s="549"/>
      <c r="M27" s="550" t="s">
        <v>92</v>
      </c>
      <c r="N27" s="551"/>
      <c r="O27" s="548"/>
      <c r="P27" s="549"/>
      <c r="Q27" s="549"/>
      <c r="R27" s="549"/>
      <c r="S27" s="550" t="s">
        <v>92</v>
      </c>
      <c r="T27" s="551"/>
      <c r="U27" s="548"/>
      <c r="V27" s="549"/>
      <c r="W27" s="549"/>
      <c r="X27" s="549"/>
      <c r="Y27" s="550" t="s">
        <v>92</v>
      </c>
      <c r="Z27" s="551"/>
      <c r="AA27" s="548"/>
      <c r="AB27" s="549"/>
      <c r="AC27" s="549"/>
      <c r="AD27" s="549"/>
      <c r="AE27" s="550" t="s">
        <v>92</v>
      </c>
      <c r="AF27" s="551"/>
      <c r="AG27" s="548"/>
      <c r="AH27" s="549"/>
      <c r="AI27" s="549"/>
      <c r="AJ27" s="549"/>
      <c r="AK27" s="550" t="s">
        <v>92</v>
      </c>
      <c r="AL27" s="551"/>
      <c r="AO27" s="698"/>
      <c r="AP27" s="702"/>
      <c r="AQ27" s="605"/>
      <c r="AR27" s="594"/>
      <c r="AS27" s="563"/>
      <c r="AT27" s="564"/>
      <c r="AU27" s="564"/>
      <c r="AV27" s="565"/>
      <c r="AW27" s="541"/>
      <c r="AX27" s="542"/>
      <c r="AY27" s="555"/>
      <c r="AZ27" s="495"/>
      <c r="BA27" s="496"/>
      <c r="BB27" s="497"/>
      <c r="BC27" s="541"/>
      <c r="BD27" s="542"/>
      <c r="BE27" s="555"/>
      <c r="BF27" s="495"/>
      <c r="BG27" s="496"/>
      <c r="BH27" s="497"/>
      <c r="BI27" s="541"/>
      <c r="BJ27" s="542"/>
      <c r="BK27" s="555"/>
      <c r="BL27" s="495"/>
      <c r="BM27" s="496"/>
      <c r="BN27" s="497"/>
      <c r="BO27" s="541"/>
      <c r="BP27" s="542"/>
      <c r="BQ27" s="555"/>
      <c r="BR27" s="495"/>
      <c r="BS27" s="496"/>
      <c r="BT27" s="497"/>
      <c r="BU27" s="541"/>
      <c r="BV27" s="542"/>
      <c r="BW27" s="555"/>
      <c r="BX27" s="495"/>
      <c r="BY27" s="496"/>
      <c r="BZ27" s="497"/>
    </row>
    <row r="28" spans="1:87" ht="22.9" customHeight="1" thickBot="1">
      <c r="A28" s="631"/>
      <c r="B28" s="640"/>
      <c r="C28" s="641"/>
      <c r="D28" s="642"/>
      <c r="E28" s="646" t="s">
        <v>270</v>
      </c>
      <c r="F28" s="647"/>
      <c r="G28" s="647"/>
      <c r="H28" s="648"/>
      <c r="I28" s="506"/>
      <c r="J28" s="507"/>
      <c r="K28" s="553"/>
      <c r="L28" s="692"/>
      <c r="M28" s="692"/>
      <c r="N28" s="693"/>
      <c r="O28" s="506"/>
      <c r="P28" s="507"/>
      <c r="Q28" s="553"/>
      <c r="R28" s="692"/>
      <c r="S28" s="692"/>
      <c r="T28" s="693"/>
      <c r="U28" s="506"/>
      <c r="V28" s="507"/>
      <c r="W28" s="553"/>
      <c r="X28" s="692"/>
      <c r="Y28" s="692"/>
      <c r="Z28" s="693"/>
      <c r="AA28" s="506"/>
      <c r="AB28" s="507"/>
      <c r="AC28" s="553"/>
      <c r="AD28" s="692"/>
      <c r="AE28" s="692"/>
      <c r="AF28" s="693"/>
      <c r="AG28" s="506"/>
      <c r="AH28" s="507"/>
      <c r="AI28" s="553"/>
      <c r="AJ28" s="692"/>
      <c r="AK28" s="692"/>
      <c r="AL28" s="693"/>
      <c r="AO28" s="698"/>
      <c r="AP28" s="702"/>
      <c r="AQ28" s="605"/>
      <c r="AR28" s="594"/>
      <c r="AS28" s="560" t="s">
        <v>102</v>
      </c>
      <c r="AT28" s="561"/>
      <c r="AU28" s="561"/>
      <c r="AV28" s="562"/>
      <c r="AW28" s="498"/>
      <c r="AX28" s="499"/>
      <c r="AY28" s="500" t="s">
        <v>101</v>
      </c>
      <c r="AZ28" s="501" t="s">
        <v>93</v>
      </c>
      <c r="BA28" s="502"/>
      <c r="BB28" s="503"/>
      <c r="BC28" s="498"/>
      <c r="BD28" s="499"/>
      <c r="BE28" s="500" t="s">
        <v>101</v>
      </c>
      <c r="BF28" s="501" t="s">
        <v>93</v>
      </c>
      <c r="BG28" s="502"/>
      <c r="BH28" s="503"/>
      <c r="BI28" s="498"/>
      <c r="BJ28" s="499"/>
      <c r="BK28" s="500" t="s">
        <v>101</v>
      </c>
      <c r="BL28" s="501" t="s">
        <v>93</v>
      </c>
      <c r="BM28" s="502"/>
      <c r="BN28" s="503"/>
      <c r="BO28" s="498"/>
      <c r="BP28" s="499"/>
      <c r="BQ28" s="500" t="s">
        <v>101</v>
      </c>
      <c r="BR28" s="501" t="s">
        <v>93</v>
      </c>
      <c r="BS28" s="502"/>
      <c r="BT28" s="503"/>
      <c r="BU28" s="498"/>
      <c r="BV28" s="499"/>
      <c r="BW28" s="500" t="s">
        <v>101</v>
      </c>
      <c r="BX28" s="501" t="s">
        <v>93</v>
      </c>
      <c r="BY28" s="502"/>
      <c r="BZ28" s="503"/>
    </row>
    <row r="29" spans="1:87" ht="22.9" customHeight="1">
      <c r="A29" s="631"/>
      <c r="B29" s="674" t="s">
        <v>362</v>
      </c>
      <c r="C29" s="675"/>
      <c r="D29" s="676"/>
      <c r="E29" s="633" t="s">
        <v>363</v>
      </c>
      <c r="F29" s="575"/>
      <c r="G29" s="575"/>
      <c r="H29" s="576"/>
      <c r="I29" s="519"/>
      <c r="J29" s="520"/>
      <c r="K29" s="566" t="s">
        <v>378</v>
      </c>
      <c r="L29" s="517" t="s">
        <v>93</v>
      </c>
      <c r="M29" s="484"/>
      <c r="N29" s="485"/>
      <c r="O29" s="519"/>
      <c r="P29" s="520"/>
      <c r="Q29" s="566" t="s">
        <v>378</v>
      </c>
      <c r="R29" s="517" t="s">
        <v>93</v>
      </c>
      <c r="S29" s="484"/>
      <c r="T29" s="485"/>
      <c r="U29" s="519"/>
      <c r="V29" s="520"/>
      <c r="W29" s="566" t="s">
        <v>378</v>
      </c>
      <c r="X29" s="517" t="s">
        <v>93</v>
      </c>
      <c r="Y29" s="484"/>
      <c r="Z29" s="485"/>
      <c r="AA29" s="519"/>
      <c r="AB29" s="520"/>
      <c r="AC29" s="566" t="s">
        <v>378</v>
      </c>
      <c r="AD29" s="517" t="s">
        <v>93</v>
      </c>
      <c r="AE29" s="484"/>
      <c r="AF29" s="485"/>
      <c r="AG29" s="519"/>
      <c r="AH29" s="520"/>
      <c r="AI29" s="566" t="s">
        <v>378</v>
      </c>
      <c r="AJ29" s="517" t="s">
        <v>93</v>
      </c>
      <c r="AK29" s="484"/>
      <c r="AL29" s="485"/>
      <c r="AO29" s="698"/>
      <c r="AP29" s="702"/>
      <c r="AQ29" s="605"/>
      <c r="AR29" s="594"/>
      <c r="AS29" s="563"/>
      <c r="AT29" s="564"/>
      <c r="AU29" s="564"/>
      <c r="AV29" s="565"/>
      <c r="AW29" s="541"/>
      <c r="AX29" s="542"/>
      <c r="AY29" s="555"/>
      <c r="AZ29" s="495"/>
      <c r="BA29" s="496"/>
      <c r="BB29" s="497"/>
      <c r="BC29" s="541"/>
      <c r="BD29" s="542"/>
      <c r="BE29" s="555"/>
      <c r="BF29" s="495"/>
      <c r="BG29" s="496"/>
      <c r="BH29" s="497"/>
      <c r="BI29" s="541"/>
      <c r="BJ29" s="542"/>
      <c r="BK29" s="555"/>
      <c r="BL29" s="495"/>
      <c r="BM29" s="496"/>
      <c r="BN29" s="497"/>
      <c r="BO29" s="541"/>
      <c r="BP29" s="542"/>
      <c r="BQ29" s="555"/>
      <c r="BR29" s="495"/>
      <c r="BS29" s="496"/>
      <c r="BT29" s="497"/>
      <c r="BU29" s="541"/>
      <c r="BV29" s="542"/>
      <c r="BW29" s="555"/>
      <c r="BX29" s="495"/>
      <c r="BY29" s="496"/>
      <c r="BZ29" s="497"/>
    </row>
    <row r="30" spans="1:87" ht="22.9" customHeight="1" thickBot="1">
      <c r="A30" s="631"/>
      <c r="B30" s="677"/>
      <c r="C30" s="678"/>
      <c r="D30" s="679"/>
      <c r="E30" s="563"/>
      <c r="F30" s="564"/>
      <c r="G30" s="564"/>
      <c r="H30" s="565"/>
      <c r="I30" s="498"/>
      <c r="J30" s="499"/>
      <c r="K30" s="567"/>
      <c r="L30" s="523"/>
      <c r="M30" s="524"/>
      <c r="N30" s="525"/>
      <c r="O30" s="498"/>
      <c r="P30" s="499"/>
      <c r="Q30" s="567"/>
      <c r="R30" s="523"/>
      <c r="S30" s="524"/>
      <c r="T30" s="525"/>
      <c r="U30" s="498"/>
      <c r="V30" s="499"/>
      <c r="W30" s="567"/>
      <c r="X30" s="523"/>
      <c r="Y30" s="524"/>
      <c r="Z30" s="525"/>
      <c r="AA30" s="498"/>
      <c r="AB30" s="499"/>
      <c r="AC30" s="567"/>
      <c r="AD30" s="523"/>
      <c r="AE30" s="524"/>
      <c r="AF30" s="525"/>
      <c r="AG30" s="498"/>
      <c r="AH30" s="499"/>
      <c r="AI30" s="567"/>
      <c r="AJ30" s="523"/>
      <c r="AK30" s="524"/>
      <c r="AL30" s="525"/>
      <c r="AO30" s="698"/>
      <c r="AP30" s="702"/>
      <c r="AQ30" s="605"/>
      <c r="AR30" s="594"/>
      <c r="AS30" s="560" t="s">
        <v>103</v>
      </c>
      <c r="AT30" s="561"/>
      <c r="AU30" s="561"/>
      <c r="AV30" s="562"/>
      <c r="AW30" s="498"/>
      <c r="AX30" s="499"/>
      <c r="AY30" s="500" t="s">
        <v>101</v>
      </c>
      <c r="AZ30" s="501" t="s">
        <v>93</v>
      </c>
      <c r="BA30" s="502"/>
      <c r="BB30" s="503"/>
      <c r="BC30" s="498"/>
      <c r="BD30" s="499"/>
      <c r="BE30" s="500" t="s">
        <v>101</v>
      </c>
      <c r="BF30" s="501" t="s">
        <v>93</v>
      </c>
      <c r="BG30" s="502"/>
      <c r="BH30" s="503"/>
      <c r="BI30" s="498"/>
      <c r="BJ30" s="499"/>
      <c r="BK30" s="500" t="s">
        <v>101</v>
      </c>
      <c r="BL30" s="501" t="s">
        <v>93</v>
      </c>
      <c r="BM30" s="502"/>
      <c r="BN30" s="503"/>
      <c r="BO30" s="498"/>
      <c r="BP30" s="499"/>
      <c r="BQ30" s="500" t="s">
        <v>101</v>
      </c>
      <c r="BR30" s="501" t="s">
        <v>93</v>
      </c>
      <c r="BS30" s="502"/>
      <c r="BT30" s="503"/>
      <c r="BU30" s="498"/>
      <c r="BV30" s="499"/>
      <c r="BW30" s="500" t="s">
        <v>101</v>
      </c>
      <c r="BX30" s="501" t="s">
        <v>93</v>
      </c>
      <c r="BY30" s="502"/>
      <c r="BZ30" s="503"/>
    </row>
    <row r="31" spans="1:87" ht="22.9" customHeight="1">
      <c r="A31" s="631"/>
      <c r="B31" s="677"/>
      <c r="C31" s="678"/>
      <c r="D31" s="679"/>
      <c r="E31" s="633" t="s">
        <v>364</v>
      </c>
      <c r="F31" s="575"/>
      <c r="G31" s="575"/>
      <c r="H31" s="576"/>
      <c r="I31" s="519"/>
      <c r="J31" s="520"/>
      <c r="K31" s="566" t="s">
        <v>92</v>
      </c>
      <c r="L31" s="517" t="s">
        <v>93</v>
      </c>
      <c r="M31" s="484"/>
      <c r="N31" s="485"/>
      <c r="O31" s="519"/>
      <c r="P31" s="520"/>
      <c r="Q31" s="566" t="s">
        <v>92</v>
      </c>
      <c r="R31" s="517" t="s">
        <v>93</v>
      </c>
      <c r="S31" s="484"/>
      <c r="T31" s="485"/>
      <c r="U31" s="519"/>
      <c r="V31" s="520"/>
      <c r="W31" s="566" t="s">
        <v>92</v>
      </c>
      <c r="X31" s="517" t="s">
        <v>93</v>
      </c>
      <c r="Y31" s="484"/>
      <c r="Z31" s="485"/>
      <c r="AA31" s="519"/>
      <c r="AB31" s="520"/>
      <c r="AC31" s="566" t="s">
        <v>92</v>
      </c>
      <c r="AD31" s="517" t="s">
        <v>93</v>
      </c>
      <c r="AE31" s="484"/>
      <c r="AF31" s="485"/>
      <c r="AG31" s="519"/>
      <c r="AH31" s="520"/>
      <c r="AI31" s="566" t="s">
        <v>92</v>
      </c>
      <c r="AJ31" s="517" t="s">
        <v>93</v>
      </c>
      <c r="AK31" s="484"/>
      <c r="AL31" s="485"/>
      <c r="AO31" s="698"/>
      <c r="AP31" s="702"/>
      <c r="AQ31" s="605"/>
      <c r="AR31" s="594"/>
      <c r="AS31" s="563"/>
      <c r="AT31" s="564"/>
      <c r="AU31" s="564"/>
      <c r="AV31" s="565"/>
      <c r="AW31" s="541"/>
      <c r="AX31" s="542"/>
      <c r="AY31" s="555"/>
      <c r="AZ31" s="495"/>
      <c r="BA31" s="496"/>
      <c r="BB31" s="497"/>
      <c r="BC31" s="541"/>
      <c r="BD31" s="542"/>
      <c r="BE31" s="555"/>
      <c r="BF31" s="495"/>
      <c r="BG31" s="496"/>
      <c r="BH31" s="497"/>
      <c r="BI31" s="541"/>
      <c r="BJ31" s="542"/>
      <c r="BK31" s="555"/>
      <c r="BL31" s="495"/>
      <c r="BM31" s="496"/>
      <c r="BN31" s="497"/>
      <c r="BO31" s="541"/>
      <c r="BP31" s="542"/>
      <c r="BQ31" s="555"/>
      <c r="BR31" s="495"/>
      <c r="BS31" s="496"/>
      <c r="BT31" s="497"/>
      <c r="BU31" s="541"/>
      <c r="BV31" s="542"/>
      <c r="BW31" s="555"/>
      <c r="BX31" s="495"/>
      <c r="BY31" s="496"/>
      <c r="BZ31" s="497"/>
    </row>
    <row r="32" spans="1:87" ht="22.9" customHeight="1">
      <c r="A32" s="631"/>
      <c r="B32" s="677"/>
      <c r="C32" s="678"/>
      <c r="D32" s="679"/>
      <c r="E32" s="563"/>
      <c r="F32" s="564"/>
      <c r="G32" s="564"/>
      <c r="H32" s="565"/>
      <c r="I32" s="498"/>
      <c r="J32" s="499"/>
      <c r="K32" s="567"/>
      <c r="L32" s="523"/>
      <c r="M32" s="524"/>
      <c r="N32" s="525"/>
      <c r="O32" s="498"/>
      <c r="P32" s="499"/>
      <c r="Q32" s="567"/>
      <c r="R32" s="523"/>
      <c r="S32" s="524"/>
      <c r="T32" s="525"/>
      <c r="U32" s="498"/>
      <c r="V32" s="499"/>
      <c r="W32" s="567"/>
      <c r="X32" s="523"/>
      <c r="Y32" s="524"/>
      <c r="Z32" s="525"/>
      <c r="AA32" s="498"/>
      <c r="AB32" s="499"/>
      <c r="AC32" s="567"/>
      <c r="AD32" s="523"/>
      <c r="AE32" s="524"/>
      <c r="AF32" s="525"/>
      <c r="AG32" s="498"/>
      <c r="AH32" s="499"/>
      <c r="AI32" s="567"/>
      <c r="AJ32" s="523"/>
      <c r="AK32" s="524"/>
      <c r="AL32" s="525"/>
      <c r="AO32" s="698"/>
      <c r="AP32" s="702"/>
      <c r="AQ32" s="605"/>
      <c r="AR32" s="594"/>
      <c r="AS32" s="560" t="s">
        <v>104</v>
      </c>
      <c r="AT32" s="561"/>
      <c r="AU32" s="561"/>
      <c r="AV32" s="562"/>
      <c r="AW32" s="498"/>
      <c r="AX32" s="499"/>
      <c r="AY32" s="500" t="s">
        <v>101</v>
      </c>
      <c r="AZ32" s="501" t="s">
        <v>93</v>
      </c>
      <c r="BA32" s="502"/>
      <c r="BB32" s="503"/>
      <c r="BC32" s="498"/>
      <c r="BD32" s="499"/>
      <c r="BE32" s="500" t="s">
        <v>101</v>
      </c>
      <c r="BF32" s="501" t="s">
        <v>93</v>
      </c>
      <c r="BG32" s="502"/>
      <c r="BH32" s="503"/>
      <c r="BI32" s="498"/>
      <c r="BJ32" s="499"/>
      <c r="BK32" s="500" t="s">
        <v>101</v>
      </c>
      <c r="BL32" s="501" t="s">
        <v>93</v>
      </c>
      <c r="BM32" s="502"/>
      <c r="BN32" s="503"/>
      <c r="BO32" s="498"/>
      <c r="BP32" s="499"/>
      <c r="BQ32" s="500" t="s">
        <v>101</v>
      </c>
      <c r="BR32" s="501" t="s">
        <v>93</v>
      </c>
      <c r="BS32" s="502"/>
      <c r="BT32" s="503"/>
      <c r="BU32" s="498"/>
      <c r="BV32" s="499"/>
      <c r="BW32" s="500" t="s">
        <v>101</v>
      </c>
      <c r="BX32" s="501" t="s">
        <v>93</v>
      </c>
      <c r="BY32" s="502"/>
      <c r="BZ32" s="503"/>
    </row>
    <row r="33" spans="1:78" ht="22.9" customHeight="1" thickBot="1">
      <c r="A33" s="631"/>
      <c r="B33" s="677"/>
      <c r="C33" s="678"/>
      <c r="D33" s="679"/>
      <c r="E33" s="581" t="s">
        <v>365</v>
      </c>
      <c r="F33" s="561"/>
      <c r="G33" s="561"/>
      <c r="H33" s="562"/>
      <c r="I33" s="498"/>
      <c r="J33" s="499"/>
      <c r="K33" s="577" t="s">
        <v>378</v>
      </c>
      <c r="L33" s="501" t="s">
        <v>93</v>
      </c>
      <c r="M33" s="502"/>
      <c r="N33" s="503"/>
      <c r="O33" s="498"/>
      <c r="P33" s="499"/>
      <c r="Q33" s="577" t="s">
        <v>378</v>
      </c>
      <c r="R33" s="501" t="s">
        <v>93</v>
      </c>
      <c r="S33" s="502"/>
      <c r="T33" s="503"/>
      <c r="U33" s="498"/>
      <c r="V33" s="499"/>
      <c r="W33" s="577" t="s">
        <v>378</v>
      </c>
      <c r="X33" s="501" t="s">
        <v>93</v>
      </c>
      <c r="Y33" s="502"/>
      <c r="Z33" s="503"/>
      <c r="AA33" s="498"/>
      <c r="AB33" s="499"/>
      <c r="AC33" s="577" t="s">
        <v>378</v>
      </c>
      <c r="AD33" s="501" t="s">
        <v>93</v>
      </c>
      <c r="AE33" s="502"/>
      <c r="AF33" s="503"/>
      <c r="AG33" s="498"/>
      <c r="AH33" s="499"/>
      <c r="AI33" s="577" t="s">
        <v>378</v>
      </c>
      <c r="AJ33" s="501" t="s">
        <v>93</v>
      </c>
      <c r="AK33" s="502"/>
      <c r="AL33" s="503"/>
      <c r="AO33" s="698"/>
      <c r="AP33" s="702"/>
      <c r="AQ33" s="605"/>
      <c r="AR33" s="595"/>
      <c r="AS33" s="563"/>
      <c r="AT33" s="564"/>
      <c r="AU33" s="564"/>
      <c r="AV33" s="565"/>
      <c r="AW33" s="541"/>
      <c r="AX33" s="542"/>
      <c r="AY33" s="555"/>
      <c r="AZ33" s="495"/>
      <c r="BA33" s="496"/>
      <c r="BB33" s="497"/>
      <c r="BC33" s="541"/>
      <c r="BD33" s="542"/>
      <c r="BE33" s="555"/>
      <c r="BF33" s="495"/>
      <c r="BG33" s="496"/>
      <c r="BH33" s="497"/>
      <c r="BI33" s="541"/>
      <c r="BJ33" s="542"/>
      <c r="BK33" s="555"/>
      <c r="BL33" s="495"/>
      <c r="BM33" s="496"/>
      <c r="BN33" s="497"/>
      <c r="BO33" s="541"/>
      <c r="BP33" s="542"/>
      <c r="BQ33" s="555"/>
      <c r="BR33" s="495"/>
      <c r="BS33" s="496"/>
      <c r="BT33" s="497"/>
      <c r="BU33" s="541"/>
      <c r="BV33" s="542"/>
      <c r="BW33" s="555"/>
      <c r="BX33" s="495"/>
      <c r="BY33" s="496"/>
      <c r="BZ33" s="497"/>
    </row>
    <row r="34" spans="1:78" ht="22.9" customHeight="1" thickBot="1">
      <c r="A34" s="632"/>
      <c r="B34" s="680"/>
      <c r="C34" s="681"/>
      <c r="D34" s="682"/>
      <c r="E34" s="588"/>
      <c r="F34" s="589"/>
      <c r="G34" s="589"/>
      <c r="H34" s="590"/>
      <c r="I34" s="521"/>
      <c r="J34" s="522"/>
      <c r="K34" s="510"/>
      <c r="L34" s="511"/>
      <c r="M34" s="512"/>
      <c r="N34" s="513"/>
      <c r="O34" s="521"/>
      <c r="P34" s="522"/>
      <c r="Q34" s="510"/>
      <c r="R34" s="511"/>
      <c r="S34" s="512"/>
      <c r="T34" s="513"/>
      <c r="U34" s="521"/>
      <c r="V34" s="522"/>
      <c r="W34" s="510"/>
      <c r="X34" s="511"/>
      <c r="Y34" s="512"/>
      <c r="Z34" s="513"/>
      <c r="AA34" s="521"/>
      <c r="AB34" s="522"/>
      <c r="AC34" s="510"/>
      <c r="AD34" s="511"/>
      <c r="AE34" s="512"/>
      <c r="AF34" s="513"/>
      <c r="AG34" s="521"/>
      <c r="AH34" s="522"/>
      <c r="AI34" s="510"/>
      <c r="AJ34" s="511"/>
      <c r="AK34" s="512"/>
      <c r="AL34" s="513"/>
      <c r="AO34" s="698"/>
      <c r="AP34" s="702"/>
      <c r="AQ34" s="605"/>
      <c r="AR34" s="688" t="s">
        <v>105</v>
      </c>
      <c r="AS34" s="574" t="s">
        <v>98</v>
      </c>
      <c r="AT34" s="575"/>
      <c r="AU34" s="575"/>
      <c r="AV34" s="576"/>
      <c r="AW34" s="519"/>
      <c r="AX34" s="520"/>
      <c r="AY34" s="518" t="s">
        <v>101</v>
      </c>
      <c r="AZ34" s="517" t="s">
        <v>93</v>
      </c>
      <c r="BA34" s="484"/>
      <c r="BB34" s="485"/>
      <c r="BC34" s="519"/>
      <c r="BD34" s="520"/>
      <c r="BE34" s="518" t="s">
        <v>101</v>
      </c>
      <c r="BF34" s="517" t="s">
        <v>93</v>
      </c>
      <c r="BG34" s="484"/>
      <c r="BH34" s="485"/>
      <c r="BI34" s="519"/>
      <c r="BJ34" s="520"/>
      <c r="BK34" s="518" t="s">
        <v>101</v>
      </c>
      <c r="BL34" s="517" t="s">
        <v>93</v>
      </c>
      <c r="BM34" s="484"/>
      <c r="BN34" s="485"/>
      <c r="BO34" s="519"/>
      <c r="BP34" s="520"/>
      <c r="BQ34" s="518" t="s">
        <v>101</v>
      </c>
      <c r="BR34" s="517" t="s">
        <v>93</v>
      </c>
      <c r="BS34" s="484"/>
      <c r="BT34" s="485"/>
      <c r="BU34" s="519"/>
      <c r="BV34" s="520"/>
      <c r="BW34" s="518" t="s">
        <v>101</v>
      </c>
      <c r="BX34" s="517" t="s">
        <v>93</v>
      </c>
      <c r="BY34" s="484"/>
      <c r="BZ34" s="485"/>
    </row>
    <row r="35" spans="1:78" ht="22.9" customHeight="1">
      <c r="A35" s="630" t="s">
        <v>158</v>
      </c>
      <c r="B35" s="651" t="s">
        <v>151</v>
      </c>
      <c r="C35" s="652"/>
      <c r="D35" s="653"/>
      <c r="E35" s="663" t="s">
        <v>380</v>
      </c>
      <c r="F35" s="664"/>
      <c r="G35" s="664"/>
      <c r="H35" s="665"/>
      <c r="I35" s="539"/>
      <c r="J35" s="540"/>
      <c r="K35" s="554" t="s">
        <v>87</v>
      </c>
      <c r="L35" s="536" t="s">
        <v>94</v>
      </c>
      <c r="M35" s="537"/>
      <c r="N35" s="538"/>
      <c r="O35" s="539"/>
      <c r="P35" s="540"/>
      <c r="Q35" s="543" t="s">
        <v>87</v>
      </c>
      <c r="R35" s="536" t="s">
        <v>94</v>
      </c>
      <c r="S35" s="537"/>
      <c r="T35" s="538"/>
      <c r="U35" s="539"/>
      <c r="V35" s="540"/>
      <c r="W35" s="543" t="s">
        <v>87</v>
      </c>
      <c r="X35" s="536" t="s">
        <v>94</v>
      </c>
      <c r="Y35" s="537"/>
      <c r="Z35" s="538"/>
      <c r="AA35" s="539"/>
      <c r="AB35" s="540"/>
      <c r="AC35" s="543" t="s">
        <v>87</v>
      </c>
      <c r="AD35" s="536" t="s">
        <v>94</v>
      </c>
      <c r="AE35" s="537"/>
      <c r="AF35" s="538"/>
      <c r="AG35" s="539"/>
      <c r="AH35" s="540"/>
      <c r="AI35" s="543" t="s">
        <v>87</v>
      </c>
      <c r="AJ35" s="536" t="s">
        <v>94</v>
      </c>
      <c r="AK35" s="537"/>
      <c r="AL35" s="538"/>
      <c r="AO35" s="698"/>
      <c r="AP35" s="702"/>
      <c r="AQ35" s="605"/>
      <c r="AR35" s="594"/>
      <c r="AS35" s="563"/>
      <c r="AT35" s="564"/>
      <c r="AU35" s="564"/>
      <c r="AV35" s="565"/>
      <c r="AW35" s="498"/>
      <c r="AX35" s="499"/>
      <c r="AY35" s="500"/>
      <c r="AZ35" s="495"/>
      <c r="BA35" s="496"/>
      <c r="BB35" s="497"/>
      <c r="BC35" s="498"/>
      <c r="BD35" s="499"/>
      <c r="BE35" s="500"/>
      <c r="BF35" s="495"/>
      <c r="BG35" s="496"/>
      <c r="BH35" s="497"/>
      <c r="BI35" s="498"/>
      <c r="BJ35" s="499"/>
      <c r="BK35" s="500"/>
      <c r="BL35" s="495"/>
      <c r="BM35" s="496"/>
      <c r="BN35" s="497"/>
      <c r="BO35" s="498"/>
      <c r="BP35" s="499"/>
      <c r="BQ35" s="500"/>
      <c r="BR35" s="495"/>
      <c r="BS35" s="496"/>
      <c r="BT35" s="497"/>
      <c r="BU35" s="498"/>
      <c r="BV35" s="499"/>
      <c r="BW35" s="500"/>
      <c r="BX35" s="495"/>
      <c r="BY35" s="496"/>
      <c r="BZ35" s="497"/>
    </row>
    <row r="36" spans="1:78" ht="22.9" customHeight="1">
      <c r="A36" s="631"/>
      <c r="B36" s="654"/>
      <c r="C36" s="654"/>
      <c r="D36" s="655"/>
      <c r="E36" s="666"/>
      <c r="F36" s="667"/>
      <c r="G36" s="667"/>
      <c r="H36" s="668"/>
      <c r="I36" s="541"/>
      <c r="J36" s="542"/>
      <c r="K36" s="555"/>
      <c r="L36" s="556"/>
      <c r="M36" s="557"/>
      <c r="N36" s="558"/>
      <c r="O36" s="541"/>
      <c r="P36" s="542"/>
      <c r="Q36" s="544"/>
      <c r="R36" s="556"/>
      <c r="S36" s="557"/>
      <c r="T36" s="558"/>
      <c r="U36" s="541"/>
      <c r="V36" s="542"/>
      <c r="W36" s="544"/>
      <c r="X36" s="556"/>
      <c r="Y36" s="557"/>
      <c r="Z36" s="558"/>
      <c r="AA36" s="541"/>
      <c r="AB36" s="542"/>
      <c r="AC36" s="544"/>
      <c r="AD36" s="556"/>
      <c r="AE36" s="557"/>
      <c r="AF36" s="558"/>
      <c r="AG36" s="541"/>
      <c r="AH36" s="542"/>
      <c r="AI36" s="544"/>
      <c r="AJ36" s="556"/>
      <c r="AK36" s="557"/>
      <c r="AL36" s="558"/>
      <c r="AO36" s="698"/>
      <c r="AP36" s="702"/>
      <c r="AQ36" s="605"/>
      <c r="AR36" s="594"/>
      <c r="AS36" s="560" t="s">
        <v>102</v>
      </c>
      <c r="AT36" s="561"/>
      <c r="AU36" s="561"/>
      <c r="AV36" s="562"/>
      <c r="AW36" s="498"/>
      <c r="AX36" s="499"/>
      <c r="AY36" s="500" t="s">
        <v>101</v>
      </c>
      <c r="AZ36" s="501" t="s">
        <v>93</v>
      </c>
      <c r="BA36" s="502"/>
      <c r="BB36" s="503"/>
      <c r="BC36" s="498"/>
      <c r="BD36" s="499"/>
      <c r="BE36" s="500" t="s">
        <v>101</v>
      </c>
      <c r="BF36" s="501" t="s">
        <v>93</v>
      </c>
      <c r="BG36" s="502"/>
      <c r="BH36" s="503"/>
      <c r="BI36" s="498"/>
      <c r="BJ36" s="499"/>
      <c r="BK36" s="500" t="s">
        <v>101</v>
      </c>
      <c r="BL36" s="501" t="s">
        <v>93</v>
      </c>
      <c r="BM36" s="502"/>
      <c r="BN36" s="503"/>
      <c r="BO36" s="498"/>
      <c r="BP36" s="499"/>
      <c r="BQ36" s="500" t="s">
        <v>101</v>
      </c>
      <c r="BR36" s="501" t="s">
        <v>93</v>
      </c>
      <c r="BS36" s="502"/>
      <c r="BT36" s="503"/>
      <c r="BU36" s="498"/>
      <c r="BV36" s="499"/>
      <c r="BW36" s="500" t="s">
        <v>101</v>
      </c>
      <c r="BX36" s="501" t="s">
        <v>93</v>
      </c>
      <c r="BY36" s="502"/>
      <c r="BZ36" s="503"/>
    </row>
    <row r="37" spans="1:78" ht="22.9" customHeight="1">
      <c r="A37" s="631"/>
      <c r="B37" s="654"/>
      <c r="C37" s="654"/>
      <c r="D37" s="655"/>
      <c r="E37" s="683" t="s">
        <v>360</v>
      </c>
      <c r="F37" s="664"/>
      <c r="G37" s="664"/>
      <c r="H37" s="665"/>
      <c r="I37" s="498"/>
      <c r="J37" s="499"/>
      <c r="K37" s="500" t="s">
        <v>87</v>
      </c>
      <c r="L37" s="501" t="s">
        <v>93</v>
      </c>
      <c r="M37" s="502"/>
      <c r="N37" s="503"/>
      <c r="O37" s="498"/>
      <c r="P37" s="499"/>
      <c r="Q37" s="552" t="s">
        <v>87</v>
      </c>
      <c r="R37" s="501" t="s">
        <v>94</v>
      </c>
      <c r="S37" s="502"/>
      <c r="T37" s="503"/>
      <c r="U37" s="498"/>
      <c r="V37" s="499"/>
      <c r="W37" s="552" t="s">
        <v>87</v>
      </c>
      <c r="X37" s="501" t="s">
        <v>94</v>
      </c>
      <c r="Y37" s="502"/>
      <c r="Z37" s="503"/>
      <c r="AA37" s="498"/>
      <c r="AB37" s="499"/>
      <c r="AC37" s="552" t="s">
        <v>87</v>
      </c>
      <c r="AD37" s="501" t="s">
        <v>94</v>
      </c>
      <c r="AE37" s="502"/>
      <c r="AF37" s="503"/>
      <c r="AG37" s="498"/>
      <c r="AH37" s="499"/>
      <c r="AI37" s="552" t="s">
        <v>87</v>
      </c>
      <c r="AJ37" s="501" t="s">
        <v>94</v>
      </c>
      <c r="AK37" s="502"/>
      <c r="AL37" s="503"/>
      <c r="AO37" s="698"/>
      <c r="AP37" s="702"/>
      <c r="AQ37" s="605"/>
      <c r="AR37" s="594"/>
      <c r="AS37" s="563"/>
      <c r="AT37" s="564"/>
      <c r="AU37" s="564"/>
      <c r="AV37" s="565"/>
      <c r="AW37" s="498"/>
      <c r="AX37" s="499"/>
      <c r="AY37" s="500"/>
      <c r="AZ37" s="495"/>
      <c r="BA37" s="496"/>
      <c r="BB37" s="497"/>
      <c r="BC37" s="498"/>
      <c r="BD37" s="499"/>
      <c r="BE37" s="500"/>
      <c r="BF37" s="495"/>
      <c r="BG37" s="496"/>
      <c r="BH37" s="497"/>
      <c r="BI37" s="498"/>
      <c r="BJ37" s="499"/>
      <c r="BK37" s="500"/>
      <c r="BL37" s="495"/>
      <c r="BM37" s="496"/>
      <c r="BN37" s="497"/>
      <c r="BO37" s="498"/>
      <c r="BP37" s="499"/>
      <c r="BQ37" s="500"/>
      <c r="BR37" s="495"/>
      <c r="BS37" s="496"/>
      <c r="BT37" s="497"/>
      <c r="BU37" s="498"/>
      <c r="BV37" s="499"/>
      <c r="BW37" s="500"/>
      <c r="BX37" s="495"/>
      <c r="BY37" s="496"/>
      <c r="BZ37" s="497"/>
    </row>
    <row r="38" spans="1:78" ht="22.9" customHeight="1">
      <c r="A38" s="631"/>
      <c r="B38" s="654"/>
      <c r="C38" s="654"/>
      <c r="D38" s="655"/>
      <c r="E38" s="684"/>
      <c r="F38" s="685"/>
      <c r="G38" s="685"/>
      <c r="H38" s="686"/>
      <c r="I38" s="498"/>
      <c r="J38" s="499"/>
      <c r="K38" s="500"/>
      <c r="L38" s="523"/>
      <c r="M38" s="524"/>
      <c r="N38" s="525"/>
      <c r="O38" s="498"/>
      <c r="P38" s="499"/>
      <c r="Q38" s="531"/>
      <c r="R38" s="523"/>
      <c r="S38" s="524"/>
      <c r="T38" s="525"/>
      <c r="U38" s="498"/>
      <c r="V38" s="499"/>
      <c r="W38" s="531"/>
      <c r="X38" s="523"/>
      <c r="Y38" s="524"/>
      <c r="Z38" s="525"/>
      <c r="AA38" s="498"/>
      <c r="AB38" s="499"/>
      <c r="AC38" s="531"/>
      <c r="AD38" s="523"/>
      <c r="AE38" s="524"/>
      <c r="AF38" s="525"/>
      <c r="AG38" s="498"/>
      <c r="AH38" s="499"/>
      <c r="AI38" s="531"/>
      <c r="AJ38" s="523"/>
      <c r="AK38" s="524"/>
      <c r="AL38" s="525"/>
      <c r="AO38" s="698"/>
      <c r="AP38" s="702"/>
      <c r="AQ38" s="605"/>
      <c r="AR38" s="594"/>
      <c r="AS38" s="560" t="s">
        <v>106</v>
      </c>
      <c r="AT38" s="561"/>
      <c r="AU38" s="561"/>
      <c r="AV38" s="562"/>
      <c r="AW38" s="498"/>
      <c r="AX38" s="499"/>
      <c r="AY38" s="500" t="s">
        <v>101</v>
      </c>
      <c r="AZ38" s="501" t="s">
        <v>93</v>
      </c>
      <c r="BA38" s="502"/>
      <c r="BB38" s="503"/>
      <c r="BC38" s="498"/>
      <c r="BD38" s="499"/>
      <c r="BE38" s="500" t="s">
        <v>101</v>
      </c>
      <c r="BF38" s="501" t="s">
        <v>93</v>
      </c>
      <c r="BG38" s="502"/>
      <c r="BH38" s="503"/>
      <c r="BI38" s="498"/>
      <c r="BJ38" s="499"/>
      <c r="BK38" s="500" t="s">
        <v>101</v>
      </c>
      <c r="BL38" s="501" t="s">
        <v>93</v>
      </c>
      <c r="BM38" s="502"/>
      <c r="BN38" s="503"/>
      <c r="BO38" s="498"/>
      <c r="BP38" s="499"/>
      <c r="BQ38" s="500" t="s">
        <v>101</v>
      </c>
      <c r="BR38" s="501" t="s">
        <v>93</v>
      </c>
      <c r="BS38" s="502"/>
      <c r="BT38" s="503"/>
      <c r="BU38" s="498"/>
      <c r="BV38" s="499"/>
      <c r="BW38" s="500" t="s">
        <v>101</v>
      </c>
      <c r="BX38" s="501" t="s">
        <v>93</v>
      </c>
      <c r="BY38" s="502"/>
      <c r="BZ38" s="503"/>
    </row>
    <row r="39" spans="1:78" ht="22.9" customHeight="1">
      <c r="A39" s="631"/>
      <c r="B39" s="654"/>
      <c r="C39" s="654"/>
      <c r="D39" s="655"/>
      <c r="E39" s="663" t="s">
        <v>143</v>
      </c>
      <c r="F39" s="669"/>
      <c r="G39" s="669"/>
      <c r="H39" s="670"/>
      <c r="I39" s="498"/>
      <c r="J39" s="499"/>
      <c r="K39" s="554" t="s">
        <v>87</v>
      </c>
      <c r="L39" s="536" t="s">
        <v>93</v>
      </c>
      <c r="M39" s="537"/>
      <c r="N39" s="538"/>
      <c r="O39" s="498"/>
      <c r="P39" s="499"/>
      <c r="Q39" s="543" t="s">
        <v>87</v>
      </c>
      <c r="R39" s="536" t="s">
        <v>94</v>
      </c>
      <c r="S39" s="537"/>
      <c r="T39" s="538"/>
      <c r="U39" s="498"/>
      <c r="V39" s="499"/>
      <c r="W39" s="543" t="s">
        <v>87</v>
      </c>
      <c r="X39" s="536" t="s">
        <v>94</v>
      </c>
      <c r="Y39" s="537"/>
      <c r="Z39" s="538"/>
      <c r="AA39" s="498"/>
      <c r="AB39" s="499"/>
      <c r="AC39" s="543" t="s">
        <v>87</v>
      </c>
      <c r="AD39" s="536" t="s">
        <v>94</v>
      </c>
      <c r="AE39" s="537"/>
      <c r="AF39" s="538"/>
      <c r="AG39" s="498"/>
      <c r="AH39" s="499"/>
      <c r="AI39" s="543" t="s">
        <v>87</v>
      </c>
      <c r="AJ39" s="536" t="s">
        <v>94</v>
      </c>
      <c r="AK39" s="537"/>
      <c r="AL39" s="538"/>
      <c r="AO39" s="698"/>
      <c r="AP39" s="702"/>
      <c r="AQ39" s="605"/>
      <c r="AR39" s="594"/>
      <c r="AS39" s="563"/>
      <c r="AT39" s="564"/>
      <c r="AU39" s="564"/>
      <c r="AV39" s="565"/>
      <c r="AW39" s="498"/>
      <c r="AX39" s="499"/>
      <c r="AY39" s="500"/>
      <c r="AZ39" s="495"/>
      <c r="BA39" s="496"/>
      <c r="BB39" s="497"/>
      <c r="BC39" s="498"/>
      <c r="BD39" s="499"/>
      <c r="BE39" s="500"/>
      <c r="BF39" s="495"/>
      <c r="BG39" s="496"/>
      <c r="BH39" s="497"/>
      <c r="BI39" s="498"/>
      <c r="BJ39" s="499"/>
      <c r="BK39" s="500"/>
      <c r="BL39" s="495"/>
      <c r="BM39" s="496"/>
      <c r="BN39" s="497"/>
      <c r="BO39" s="498"/>
      <c r="BP39" s="499"/>
      <c r="BQ39" s="500"/>
      <c r="BR39" s="495"/>
      <c r="BS39" s="496"/>
      <c r="BT39" s="497"/>
      <c r="BU39" s="498"/>
      <c r="BV39" s="499"/>
      <c r="BW39" s="500"/>
      <c r="BX39" s="495"/>
      <c r="BY39" s="496"/>
      <c r="BZ39" s="497"/>
    </row>
    <row r="40" spans="1:78" ht="22.9" customHeight="1">
      <c r="A40" s="631"/>
      <c r="B40" s="654"/>
      <c r="C40" s="654"/>
      <c r="D40" s="655"/>
      <c r="E40" s="671"/>
      <c r="F40" s="672"/>
      <c r="G40" s="672"/>
      <c r="H40" s="673"/>
      <c r="I40" s="541"/>
      <c r="J40" s="542"/>
      <c r="K40" s="555"/>
      <c r="L40" s="556"/>
      <c r="M40" s="557"/>
      <c r="N40" s="558"/>
      <c r="O40" s="541"/>
      <c r="P40" s="542"/>
      <c r="Q40" s="544"/>
      <c r="R40" s="556"/>
      <c r="S40" s="557"/>
      <c r="T40" s="558"/>
      <c r="U40" s="541"/>
      <c r="V40" s="542"/>
      <c r="W40" s="544"/>
      <c r="X40" s="556"/>
      <c r="Y40" s="557"/>
      <c r="Z40" s="558"/>
      <c r="AA40" s="541"/>
      <c r="AB40" s="542"/>
      <c r="AC40" s="544"/>
      <c r="AD40" s="556"/>
      <c r="AE40" s="557"/>
      <c r="AF40" s="558"/>
      <c r="AG40" s="541"/>
      <c r="AH40" s="542"/>
      <c r="AI40" s="544"/>
      <c r="AJ40" s="556"/>
      <c r="AK40" s="557"/>
      <c r="AL40" s="558"/>
      <c r="AO40" s="698"/>
      <c r="AP40" s="702"/>
      <c r="AQ40" s="605"/>
      <c r="AR40" s="594"/>
      <c r="AS40" s="560" t="s">
        <v>107</v>
      </c>
      <c r="AT40" s="561"/>
      <c r="AU40" s="561"/>
      <c r="AV40" s="562"/>
      <c r="AW40" s="498"/>
      <c r="AX40" s="499"/>
      <c r="AY40" s="500" t="s">
        <v>101</v>
      </c>
      <c r="AZ40" s="501" t="s">
        <v>93</v>
      </c>
      <c r="BA40" s="502"/>
      <c r="BB40" s="503"/>
      <c r="BC40" s="498"/>
      <c r="BD40" s="499"/>
      <c r="BE40" s="500" t="s">
        <v>101</v>
      </c>
      <c r="BF40" s="501" t="s">
        <v>93</v>
      </c>
      <c r="BG40" s="502"/>
      <c r="BH40" s="503"/>
      <c r="BI40" s="498"/>
      <c r="BJ40" s="499"/>
      <c r="BK40" s="500" t="s">
        <v>101</v>
      </c>
      <c r="BL40" s="501" t="s">
        <v>93</v>
      </c>
      <c r="BM40" s="502"/>
      <c r="BN40" s="503"/>
      <c r="BO40" s="498"/>
      <c r="BP40" s="499"/>
      <c r="BQ40" s="500" t="s">
        <v>101</v>
      </c>
      <c r="BR40" s="501" t="s">
        <v>93</v>
      </c>
      <c r="BS40" s="502"/>
      <c r="BT40" s="503"/>
      <c r="BU40" s="498"/>
      <c r="BV40" s="499"/>
      <c r="BW40" s="500" t="s">
        <v>101</v>
      </c>
      <c r="BX40" s="501" t="s">
        <v>93</v>
      </c>
      <c r="BY40" s="502"/>
      <c r="BZ40" s="503"/>
    </row>
    <row r="41" spans="1:78" ht="22.9" customHeight="1">
      <c r="A41" s="631"/>
      <c r="B41" s="654"/>
      <c r="C41" s="654"/>
      <c r="D41" s="655"/>
      <c r="E41" s="581" t="s">
        <v>147</v>
      </c>
      <c r="F41" s="561"/>
      <c r="G41" s="561"/>
      <c r="H41" s="562"/>
      <c r="I41" s="498"/>
      <c r="J41" s="499"/>
      <c r="K41" s="500" t="s">
        <v>87</v>
      </c>
      <c r="L41" s="501" t="s">
        <v>93</v>
      </c>
      <c r="M41" s="502"/>
      <c r="N41" s="503"/>
      <c r="O41" s="498"/>
      <c r="P41" s="499"/>
      <c r="Q41" s="552" t="s">
        <v>87</v>
      </c>
      <c r="R41" s="501" t="s">
        <v>94</v>
      </c>
      <c r="S41" s="502"/>
      <c r="T41" s="503"/>
      <c r="U41" s="498"/>
      <c r="V41" s="499"/>
      <c r="W41" s="552" t="s">
        <v>87</v>
      </c>
      <c r="X41" s="501" t="s">
        <v>94</v>
      </c>
      <c r="Y41" s="502"/>
      <c r="Z41" s="503"/>
      <c r="AA41" s="498"/>
      <c r="AB41" s="499"/>
      <c r="AC41" s="552" t="s">
        <v>87</v>
      </c>
      <c r="AD41" s="501" t="s">
        <v>94</v>
      </c>
      <c r="AE41" s="502"/>
      <c r="AF41" s="503"/>
      <c r="AG41" s="498"/>
      <c r="AH41" s="499"/>
      <c r="AI41" s="552" t="s">
        <v>87</v>
      </c>
      <c r="AJ41" s="501" t="s">
        <v>94</v>
      </c>
      <c r="AK41" s="502"/>
      <c r="AL41" s="503"/>
      <c r="AO41" s="698"/>
      <c r="AP41" s="702"/>
      <c r="AQ41" s="605"/>
      <c r="AR41" s="594"/>
      <c r="AS41" s="563"/>
      <c r="AT41" s="564"/>
      <c r="AU41" s="564"/>
      <c r="AV41" s="565"/>
      <c r="AW41" s="498"/>
      <c r="AX41" s="499"/>
      <c r="AY41" s="500"/>
      <c r="AZ41" s="495"/>
      <c r="BA41" s="496"/>
      <c r="BB41" s="497"/>
      <c r="BC41" s="498"/>
      <c r="BD41" s="499"/>
      <c r="BE41" s="500"/>
      <c r="BF41" s="495"/>
      <c r="BG41" s="496"/>
      <c r="BH41" s="497"/>
      <c r="BI41" s="498"/>
      <c r="BJ41" s="499"/>
      <c r="BK41" s="500"/>
      <c r="BL41" s="495"/>
      <c r="BM41" s="496"/>
      <c r="BN41" s="497"/>
      <c r="BO41" s="498"/>
      <c r="BP41" s="499"/>
      <c r="BQ41" s="500"/>
      <c r="BR41" s="495"/>
      <c r="BS41" s="496"/>
      <c r="BT41" s="497"/>
      <c r="BU41" s="498"/>
      <c r="BV41" s="499"/>
      <c r="BW41" s="500"/>
      <c r="BX41" s="495"/>
      <c r="BY41" s="496"/>
      <c r="BZ41" s="497"/>
    </row>
    <row r="42" spans="1:78" ht="22.9" customHeight="1">
      <c r="A42" s="631"/>
      <c r="B42" s="654"/>
      <c r="C42" s="654"/>
      <c r="D42" s="655"/>
      <c r="E42" s="563"/>
      <c r="F42" s="564"/>
      <c r="G42" s="564"/>
      <c r="H42" s="565"/>
      <c r="I42" s="498"/>
      <c r="J42" s="499"/>
      <c r="K42" s="500"/>
      <c r="L42" s="523"/>
      <c r="M42" s="524"/>
      <c r="N42" s="525"/>
      <c r="O42" s="498"/>
      <c r="P42" s="499"/>
      <c r="Q42" s="531"/>
      <c r="R42" s="523"/>
      <c r="S42" s="524"/>
      <c r="T42" s="525"/>
      <c r="U42" s="498"/>
      <c r="V42" s="499"/>
      <c r="W42" s="531"/>
      <c r="X42" s="523"/>
      <c r="Y42" s="524"/>
      <c r="Z42" s="525"/>
      <c r="AA42" s="498"/>
      <c r="AB42" s="499"/>
      <c r="AC42" s="531"/>
      <c r="AD42" s="523"/>
      <c r="AE42" s="524"/>
      <c r="AF42" s="525"/>
      <c r="AG42" s="498"/>
      <c r="AH42" s="499"/>
      <c r="AI42" s="531"/>
      <c r="AJ42" s="523"/>
      <c r="AK42" s="524"/>
      <c r="AL42" s="525"/>
      <c r="AO42" s="698"/>
      <c r="AP42" s="702"/>
      <c r="AQ42" s="605"/>
      <c r="AR42" s="594"/>
      <c r="AS42" s="581" t="s">
        <v>367</v>
      </c>
      <c r="AT42" s="561"/>
      <c r="AU42" s="561"/>
      <c r="AV42" s="562"/>
      <c r="AW42" s="498"/>
      <c r="AX42" s="499"/>
      <c r="AY42" s="500" t="s">
        <v>101</v>
      </c>
      <c r="AZ42" s="501" t="s">
        <v>93</v>
      </c>
      <c r="BA42" s="502"/>
      <c r="BB42" s="503"/>
      <c r="BC42" s="498"/>
      <c r="BD42" s="499"/>
      <c r="BE42" s="500" t="s">
        <v>101</v>
      </c>
      <c r="BF42" s="501" t="s">
        <v>93</v>
      </c>
      <c r="BG42" s="502"/>
      <c r="BH42" s="503"/>
      <c r="BI42" s="498"/>
      <c r="BJ42" s="499"/>
      <c r="BK42" s="500" t="s">
        <v>101</v>
      </c>
      <c r="BL42" s="501" t="s">
        <v>93</v>
      </c>
      <c r="BM42" s="502"/>
      <c r="BN42" s="503"/>
      <c r="BO42" s="498"/>
      <c r="BP42" s="499"/>
      <c r="BQ42" s="500" t="s">
        <v>101</v>
      </c>
      <c r="BR42" s="501" t="s">
        <v>93</v>
      </c>
      <c r="BS42" s="502"/>
      <c r="BT42" s="503"/>
      <c r="BU42" s="498"/>
      <c r="BV42" s="499"/>
      <c r="BW42" s="500" t="s">
        <v>101</v>
      </c>
      <c r="BX42" s="501" t="s">
        <v>93</v>
      </c>
      <c r="BY42" s="502"/>
      <c r="BZ42" s="503"/>
    </row>
    <row r="43" spans="1:78" ht="22.9" customHeight="1">
      <c r="A43" s="631"/>
      <c r="B43" s="654"/>
      <c r="C43" s="654"/>
      <c r="D43" s="655"/>
      <c r="E43" s="581" t="s">
        <v>146</v>
      </c>
      <c r="F43" s="561"/>
      <c r="G43" s="561"/>
      <c r="H43" s="562"/>
      <c r="I43" s="498"/>
      <c r="J43" s="499"/>
      <c r="K43" s="554" t="s">
        <v>87</v>
      </c>
      <c r="L43" s="536" t="s">
        <v>93</v>
      </c>
      <c r="M43" s="537"/>
      <c r="N43" s="538"/>
      <c r="O43" s="498"/>
      <c r="P43" s="499"/>
      <c r="Q43" s="543" t="s">
        <v>87</v>
      </c>
      <c r="R43" s="536" t="s">
        <v>94</v>
      </c>
      <c r="S43" s="537"/>
      <c r="T43" s="538"/>
      <c r="U43" s="498"/>
      <c r="V43" s="499"/>
      <c r="W43" s="543" t="s">
        <v>87</v>
      </c>
      <c r="X43" s="536" t="s">
        <v>94</v>
      </c>
      <c r="Y43" s="537"/>
      <c r="Z43" s="538"/>
      <c r="AA43" s="498"/>
      <c r="AB43" s="499"/>
      <c r="AC43" s="543" t="s">
        <v>87</v>
      </c>
      <c r="AD43" s="536" t="s">
        <v>94</v>
      </c>
      <c r="AE43" s="537"/>
      <c r="AF43" s="538"/>
      <c r="AG43" s="498"/>
      <c r="AH43" s="499"/>
      <c r="AI43" s="543" t="s">
        <v>87</v>
      </c>
      <c r="AJ43" s="536" t="s">
        <v>94</v>
      </c>
      <c r="AK43" s="537"/>
      <c r="AL43" s="538"/>
      <c r="AO43" s="698"/>
      <c r="AP43" s="702"/>
      <c r="AQ43" s="605"/>
      <c r="AR43" s="594"/>
      <c r="AS43" s="563"/>
      <c r="AT43" s="564"/>
      <c r="AU43" s="564"/>
      <c r="AV43" s="565"/>
      <c r="AW43" s="498"/>
      <c r="AX43" s="499"/>
      <c r="AY43" s="500"/>
      <c r="AZ43" s="495"/>
      <c r="BA43" s="496"/>
      <c r="BB43" s="497"/>
      <c r="BC43" s="498"/>
      <c r="BD43" s="499"/>
      <c r="BE43" s="500"/>
      <c r="BF43" s="495"/>
      <c r="BG43" s="496"/>
      <c r="BH43" s="497"/>
      <c r="BI43" s="498"/>
      <c r="BJ43" s="499"/>
      <c r="BK43" s="500"/>
      <c r="BL43" s="495"/>
      <c r="BM43" s="496"/>
      <c r="BN43" s="497"/>
      <c r="BO43" s="498"/>
      <c r="BP43" s="499"/>
      <c r="BQ43" s="500"/>
      <c r="BR43" s="495"/>
      <c r="BS43" s="496"/>
      <c r="BT43" s="497"/>
      <c r="BU43" s="498"/>
      <c r="BV43" s="499"/>
      <c r="BW43" s="500"/>
      <c r="BX43" s="495"/>
      <c r="BY43" s="496"/>
      <c r="BZ43" s="497"/>
    </row>
    <row r="44" spans="1:78" ht="22.9" customHeight="1" thickBot="1">
      <c r="A44" s="631"/>
      <c r="B44" s="656"/>
      <c r="C44" s="656"/>
      <c r="D44" s="657"/>
      <c r="E44" s="588"/>
      <c r="F44" s="589"/>
      <c r="G44" s="589"/>
      <c r="H44" s="590"/>
      <c r="I44" s="521"/>
      <c r="J44" s="522"/>
      <c r="K44" s="510"/>
      <c r="L44" s="511"/>
      <c r="M44" s="512"/>
      <c r="N44" s="513"/>
      <c r="O44" s="521"/>
      <c r="P44" s="522"/>
      <c r="Q44" s="559"/>
      <c r="R44" s="511"/>
      <c r="S44" s="512"/>
      <c r="T44" s="513"/>
      <c r="U44" s="521"/>
      <c r="V44" s="522"/>
      <c r="W44" s="559"/>
      <c r="X44" s="511"/>
      <c r="Y44" s="512"/>
      <c r="Z44" s="513"/>
      <c r="AA44" s="521"/>
      <c r="AB44" s="522"/>
      <c r="AC44" s="559"/>
      <c r="AD44" s="511"/>
      <c r="AE44" s="512"/>
      <c r="AF44" s="513"/>
      <c r="AG44" s="521"/>
      <c r="AH44" s="522"/>
      <c r="AI44" s="559"/>
      <c r="AJ44" s="511"/>
      <c r="AK44" s="512"/>
      <c r="AL44" s="513"/>
      <c r="AO44" s="698"/>
      <c r="AP44" s="702"/>
      <c r="AQ44" s="605"/>
      <c r="AR44" s="594"/>
      <c r="AS44" s="581" t="s">
        <v>368</v>
      </c>
      <c r="AT44" s="561"/>
      <c r="AU44" s="561"/>
      <c r="AV44" s="562"/>
      <c r="AW44" s="498"/>
      <c r="AX44" s="499"/>
      <c r="AY44" s="500" t="s">
        <v>101</v>
      </c>
      <c r="AZ44" s="501" t="s">
        <v>93</v>
      </c>
      <c r="BA44" s="502"/>
      <c r="BB44" s="503"/>
      <c r="BC44" s="498"/>
      <c r="BD44" s="499"/>
      <c r="BE44" s="500" t="s">
        <v>101</v>
      </c>
      <c r="BF44" s="501" t="s">
        <v>93</v>
      </c>
      <c r="BG44" s="502"/>
      <c r="BH44" s="503"/>
      <c r="BI44" s="498"/>
      <c r="BJ44" s="499"/>
      <c r="BK44" s="500" t="s">
        <v>101</v>
      </c>
      <c r="BL44" s="501" t="s">
        <v>93</v>
      </c>
      <c r="BM44" s="502"/>
      <c r="BN44" s="503"/>
      <c r="BO44" s="498"/>
      <c r="BP44" s="499"/>
      <c r="BQ44" s="500" t="s">
        <v>101</v>
      </c>
      <c r="BR44" s="501" t="s">
        <v>93</v>
      </c>
      <c r="BS44" s="502"/>
      <c r="BT44" s="503"/>
      <c r="BU44" s="498"/>
      <c r="BV44" s="499"/>
      <c r="BW44" s="500" t="s">
        <v>101</v>
      </c>
      <c r="BX44" s="501" t="s">
        <v>93</v>
      </c>
      <c r="BY44" s="502"/>
      <c r="BZ44" s="503"/>
    </row>
    <row r="45" spans="1:78" ht="22.9" customHeight="1" thickBot="1">
      <c r="A45" s="631"/>
      <c r="B45" s="651" t="s">
        <v>152</v>
      </c>
      <c r="C45" s="651"/>
      <c r="D45" s="658"/>
      <c r="E45" s="574" t="s">
        <v>95</v>
      </c>
      <c r="F45" s="575"/>
      <c r="G45" s="575"/>
      <c r="H45" s="576"/>
      <c r="I45" s="519"/>
      <c r="J45" s="520"/>
      <c r="K45" s="518" t="s">
        <v>87</v>
      </c>
      <c r="L45" s="517" t="s">
        <v>94</v>
      </c>
      <c r="M45" s="484"/>
      <c r="N45" s="485"/>
      <c r="O45" s="526"/>
      <c r="P45" s="527"/>
      <c r="Q45" s="530" t="s">
        <v>87</v>
      </c>
      <c r="R45" s="517" t="s">
        <v>94</v>
      </c>
      <c r="S45" s="484"/>
      <c r="T45" s="485"/>
      <c r="U45" s="526"/>
      <c r="V45" s="527"/>
      <c r="W45" s="530" t="s">
        <v>87</v>
      </c>
      <c r="X45" s="517" t="s">
        <v>94</v>
      </c>
      <c r="Y45" s="484"/>
      <c r="Z45" s="485"/>
      <c r="AA45" s="526"/>
      <c r="AB45" s="527"/>
      <c r="AC45" s="530" t="s">
        <v>87</v>
      </c>
      <c r="AD45" s="517" t="s">
        <v>94</v>
      </c>
      <c r="AE45" s="484"/>
      <c r="AF45" s="485"/>
      <c r="AG45" s="526"/>
      <c r="AH45" s="527"/>
      <c r="AI45" s="530" t="s">
        <v>87</v>
      </c>
      <c r="AJ45" s="517" t="s">
        <v>94</v>
      </c>
      <c r="AK45" s="484"/>
      <c r="AL45" s="485"/>
      <c r="AO45" s="698"/>
      <c r="AP45" s="702"/>
      <c r="AQ45" s="605"/>
      <c r="AR45" s="703"/>
      <c r="AS45" s="588"/>
      <c r="AT45" s="589"/>
      <c r="AU45" s="589"/>
      <c r="AV45" s="590"/>
      <c r="AW45" s="521"/>
      <c r="AX45" s="522"/>
      <c r="AY45" s="510"/>
      <c r="AZ45" s="514"/>
      <c r="BA45" s="515"/>
      <c r="BB45" s="516"/>
      <c r="BC45" s="521"/>
      <c r="BD45" s="522"/>
      <c r="BE45" s="510"/>
      <c r="BF45" s="514"/>
      <c r="BG45" s="515"/>
      <c r="BH45" s="516"/>
      <c r="BI45" s="521"/>
      <c r="BJ45" s="522"/>
      <c r="BK45" s="510"/>
      <c r="BL45" s="514"/>
      <c r="BM45" s="515"/>
      <c r="BN45" s="516"/>
      <c r="BO45" s="521"/>
      <c r="BP45" s="522"/>
      <c r="BQ45" s="510"/>
      <c r="BR45" s="514"/>
      <c r="BS45" s="515"/>
      <c r="BT45" s="516"/>
      <c r="BU45" s="521"/>
      <c r="BV45" s="522"/>
      <c r="BW45" s="510"/>
      <c r="BX45" s="514"/>
      <c r="BY45" s="515"/>
      <c r="BZ45" s="516"/>
    </row>
    <row r="46" spans="1:78" ht="22.9" customHeight="1">
      <c r="A46" s="631"/>
      <c r="B46" s="659"/>
      <c r="C46" s="659"/>
      <c r="D46" s="660"/>
      <c r="E46" s="563"/>
      <c r="F46" s="564"/>
      <c r="G46" s="564"/>
      <c r="H46" s="565"/>
      <c r="I46" s="498"/>
      <c r="J46" s="499"/>
      <c r="K46" s="500"/>
      <c r="L46" s="523"/>
      <c r="M46" s="524"/>
      <c r="N46" s="525"/>
      <c r="O46" s="528"/>
      <c r="P46" s="529"/>
      <c r="Q46" s="531"/>
      <c r="R46" s="523"/>
      <c r="S46" s="524"/>
      <c r="T46" s="525"/>
      <c r="U46" s="528"/>
      <c r="V46" s="529"/>
      <c r="W46" s="531"/>
      <c r="X46" s="523"/>
      <c r="Y46" s="524"/>
      <c r="Z46" s="525"/>
      <c r="AA46" s="528"/>
      <c r="AB46" s="529"/>
      <c r="AC46" s="531"/>
      <c r="AD46" s="523"/>
      <c r="AE46" s="524"/>
      <c r="AF46" s="525"/>
      <c r="AG46" s="528"/>
      <c r="AH46" s="529"/>
      <c r="AI46" s="531"/>
      <c r="AJ46" s="523"/>
      <c r="AK46" s="524"/>
      <c r="AL46" s="525"/>
      <c r="AO46" s="698"/>
      <c r="AP46" s="702"/>
      <c r="AQ46" s="605"/>
      <c r="AR46" s="688" t="s">
        <v>369</v>
      </c>
      <c r="AS46" s="568" t="s">
        <v>370</v>
      </c>
      <c r="AT46" s="569"/>
      <c r="AU46" s="569"/>
      <c r="AV46" s="570"/>
      <c r="AW46" s="519"/>
      <c r="AX46" s="520"/>
      <c r="AY46" s="518" t="s">
        <v>99</v>
      </c>
      <c r="AZ46" s="517" t="s">
        <v>93</v>
      </c>
      <c r="BA46" s="484"/>
      <c r="BB46" s="485"/>
      <c r="BC46" s="526"/>
      <c r="BD46" s="527"/>
      <c r="BE46" s="530" t="s">
        <v>99</v>
      </c>
      <c r="BF46" s="517" t="s">
        <v>93</v>
      </c>
      <c r="BG46" s="484"/>
      <c r="BH46" s="485"/>
      <c r="BI46" s="526"/>
      <c r="BJ46" s="527"/>
      <c r="BK46" s="530" t="s">
        <v>99</v>
      </c>
      <c r="BL46" s="517" t="s">
        <v>93</v>
      </c>
      <c r="BM46" s="484"/>
      <c r="BN46" s="485"/>
      <c r="BO46" s="526"/>
      <c r="BP46" s="527"/>
      <c r="BQ46" s="530" t="s">
        <v>99</v>
      </c>
      <c r="BR46" s="517" t="s">
        <v>93</v>
      </c>
      <c r="BS46" s="484"/>
      <c r="BT46" s="485"/>
      <c r="BU46" s="526"/>
      <c r="BV46" s="527"/>
      <c r="BW46" s="530" t="s">
        <v>99</v>
      </c>
      <c r="BX46" s="517" t="s">
        <v>93</v>
      </c>
      <c r="BY46" s="484"/>
      <c r="BZ46" s="485"/>
    </row>
    <row r="47" spans="1:78" ht="22.9" customHeight="1">
      <c r="A47" s="631"/>
      <c r="B47" s="659"/>
      <c r="C47" s="659"/>
      <c r="D47" s="660"/>
      <c r="E47" s="687" t="s">
        <v>121</v>
      </c>
      <c r="F47" s="586"/>
      <c r="G47" s="586"/>
      <c r="H47" s="587"/>
      <c r="I47" s="498"/>
      <c r="J47" s="499"/>
      <c r="K47" s="500" t="s">
        <v>87</v>
      </c>
      <c r="L47" s="501" t="s">
        <v>94</v>
      </c>
      <c r="M47" s="502"/>
      <c r="N47" s="503"/>
      <c r="O47" s="504"/>
      <c r="P47" s="505"/>
      <c r="Q47" s="552" t="s">
        <v>87</v>
      </c>
      <c r="R47" s="501" t="s">
        <v>94</v>
      </c>
      <c r="S47" s="502"/>
      <c r="T47" s="503"/>
      <c r="U47" s="504"/>
      <c r="V47" s="505"/>
      <c r="W47" s="552" t="s">
        <v>87</v>
      </c>
      <c r="X47" s="501" t="s">
        <v>94</v>
      </c>
      <c r="Y47" s="502"/>
      <c r="Z47" s="503"/>
      <c r="AA47" s="504"/>
      <c r="AB47" s="505"/>
      <c r="AC47" s="552" t="s">
        <v>87</v>
      </c>
      <c r="AD47" s="501" t="s">
        <v>94</v>
      </c>
      <c r="AE47" s="502"/>
      <c r="AF47" s="503"/>
      <c r="AG47" s="504"/>
      <c r="AH47" s="505"/>
      <c r="AI47" s="552" t="s">
        <v>87</v>
      </c>
      <c r="AJ47" s="501" t="s">
        <v>94</v>
      </c>
      <c r="AK47" s="502"/>
      <c r="AL47" s="503"/>
      <c r="AO47" s="698"/>
      <c r="AP47" s="702"/>
      <c r="AQ47" s="605"/>
      <c r="AR47" s="594"/>
      <c r="AS47" s="571"/>
      <c r="AT47" s="572"/>
      <c r="AU47" s="572"/>
      <c r="AV47" s="573"/>
      <c r="AW47" s="498"/>
      <c r="AX47" s="499"/>
      <c r="AY47" s="500"/>
      <c r="AZ47" s="523"/>
      <c r="BA47" s="524"/>
      <c r="BB47" s="525"/>
      <c r="BC47" s="528"/>
      <c r="BD47" s="529"/>
      <c r="BE47" s="531"/>
      <c r="BF47" s="523"/>
      <c r="BG47" s="524"/>
      <c r="BH47" s="525"/>
      <c r="BI47" s="528"/>
      <c r="BJ47" s="529"/>
      <c r="BK47" s="531"/>
      <c r="BL47" s="523"/>
      <c r="BM47" s="524"/>
      <c r="BN47" s="525"/>
      <c r="BO47" s="528"/>
      <c r="BP47" s="529"/>
      <c r="BQ47" s="531"/>
      <c r="BR47" s="523"/>
      <c r="BS47" s="524"/>
      <c r="BT47" s="525"/>
      <c r="BU47" s="528"/>
      <c r="BV47" s="529"/>
      <c r="BW47" s="531"/>
      <c r="BX47" s="523"/>
      <c r="BY47" s="524"/>
      <c r="BZ47" s="525"/>
    </row>
    <row r="48" spans="1:78" ht="22.9" customHeight="1">
      <c r="A48" s="631"/>
      <c r="B48" s="659"/>
      <c r="C48" s="659"/>
      <c r="D48" s="660"/>
      <c r="E48" s="563"/>
      <c r="F48" s="564"/>
      <c r="G48" s="564"/>
      <c r="H48" s="565"/>
      <c r="I48" s="541"/>
      <c r="J48" s="542"/>
      <c r="K48" s="555"/>
      <c r="L48" s="556"/>
      <c r="M48" s="557"/>
      <c r="N48" s="558"/>
      <c r="O48" s="548"/>
      <c r="P48" s="549"/>
      <c r="Q48" s="544"/>
      <c r="R48" s="556"/>
      <c r="S48" s="557"/>
      <c r="T48" s="558"/>
      <c r="U48" s="548"/>
      <c r="V48" s="549"/>
      <c r="W48" s="544"/>
      <c r="X48" s="556"/>
      <c r="Y48" s="557"/>
      <c r="Z48" s="558"/>
      <c r="AA48" s="548"/>
      <c r="AB48" s="549"/>
      <c r="AC48" s="544"/>
      <c r="AD48" s="556"/>
      <c r="AE48" s="557"/>
      <c r="AF48" s="558"/>
      <c r="AG48" s="548"/>
      <c r="AH48" s="549"/>
      <c r="AI48" s="544"/>
      <c r="AJ48" s="556"/>
      <c r="AK48" s="557"/>
      <c r="AL48" s="558"/>
      <c r="AO48" s="698"/>
      <c r="AP48" s="702"/>
      <c r="AQ48" s="605"/>
      <c r="AR48" s="594"/>
      <c r="AS48" s="581" t="s">
        <v>371</v>
      </c>
      <c r="AT48" s="561"/>
      <c r="AU48" s="561"/>
      <c r="AV48" s="562"/>
      <c r="AW48" s="498"/>
      <c r="AX48" s="499"/>
      <c r="AY48" s="508" t="s">
        <v>99</v>
      </c>
      <c r="AZ48" s="501" t="s">
        <v>93</v>
      </c>
      <c r="BA48" s="502"/>
      <c r="BB48" s="503"/>
      <c r="BC48" s="504"/>
      <c r="BD48" s="505"/>
      <c r="BE48" s="508" t="s">
        <v>99</v>
      </c>
      <c r="BF48" s="501" t="s">
        <v>93</v>
      </c>
      <c r="BG48" s="502"/>
      <c r="BH48" s="503"/>
      <c r="BI48" s="504"/>
      <c r="BJ48" s="505"/>
      <c r="BK48" s="508" t="s">
        <v>99</v>
      </c>
      <c r="BL48" s="501" t="s">
        <v>93</v>
      </c>
      <c r="BM48" s="502"/>
      <c r="BN48" s="503"/>
      <c r="BO48" s="504"/>
      <c r="BP48" s="505"/>
      <c r="BQ48" s="508" t="s">
        <v>99</v>
      </c>
      <c r="BR48" s="501" t="s">
        <v>93</v>
      </c>
      <c r="BS48" s="502"/>
      <c r="BT48" s="503"/>
      <c r="BU48" s="504"/>
      <c r="BV48" s="505"/>
      <c r="BW48" s="508" t="s">
        <v>99</v>
      </c>
      <c r="BX48" s="501" t="s">
        <v>93</v>
      </c>
      <c r="BY48" s="502"/>
      <c r="BZ48" s="503"/>
    </row>
    <row r="49" spans="1:87" ht="22.9" customHeight="1" thickBot="1">
      <c r="A49" s="631"/>
      <c r="B49" s="659"/>
      <c r="C49" s="659"/>
      <c r="D49" s="660"/>
      <c r="E49" s="560" t="s">
        <v>96</v>
      </c>
      <c r="F49" s="561"/>
      <c r="G49" s="561"/>
      <c r="H49" s="562"/>
      <c r="I49" s="498"/>
      <c r="J49" s="499"/>
      <c r="K49" s="500" t="s">
        <v>87</v>
      </c>
      <c r="L49" s="501" t="s">
        <v>93</v>
      </c>
      <c r="M49" s="502"/>
      <c r="N49" s="503"/>
      <c r="O49" s="498"/>
      <c r="P49" s="499"/>
      <c r="Q49" s="500" t="s">
        <v>87</v>
      </c>
      <c r="R49" s="501" t="s">
        <v>93</v>
      </c>
      <c r="S49" s="502"/>
      <c r="T49" s="503"/>
      <c r="U49" s="498"/>
      <c r="V49" s="499"/>
      <c r="W49" s="500" t="s">
        <v>87</v>
      </c>
      <c r="X49" s="501" t="s">
        <v>93</v>
      </c>
      <c r="Y49" s="502"/>
      <c r="Z49" s="503"/>
      <c r="AA49" s="498"/>
      <c r="AB49" s="499"/>
      <c r="AC49" s="500" t="s">
        <v>87</v>
      </c>
      <c r="AD49" s="501" t="s">
        <v>93</v>
      </c>
      <c r="AE49" s="502"/>
      <c r="AF49" s="503"/>
      <c r="AG49" s="498"/>
      <c r="AH49" s="499"/>
      <c r="AI49" s="500" t="s">
        <v>87</v>
      </c>
      <c r="AJ49" s="501" t="s">
        <v>93</v>
      </c>
      <c r="AK49" s="502"/>
      <c r="AL49" s="503"/>
      <c r="AO49" s="698"/>
      <c r="AP49" s="702"/>
      <c r="AQ49" s="605"/>
      <c r="AR49" s="703"/>
      <c r="AS49" s="582"/>
      <c r="AT49" s="583"/>
      <c r="AU49" s="583"/>
      <c r="AV49" s="584"/>
      <c r="AW49" s="521"/>
      <c r="AX49" s="522"/>
      <c r="AY49" s="509"/>
      <c r="AZ49" s="511"/>
      <c r="BA49" s="512"/>
      <c r="BB49" s="513"/>
      <c r="BC49" s="506"/>
      <c r="BD49" s="507"/>
      <c r="BE49" s="509"/>
      <c r="BF49" s="511"/>
      <c r="BG49" s="512"/>
      <c r="BH49" s="513"/>
      <c r="BI49" s="506"/>
      <c r="BJ49" s="507"/>
      <c r="BK49" s="509"/>
      <c r="BL49" s="511"/>
      <c r="BM49" s="512"/>
      <c r="BN49" s="513"/>
      <c r="BO49" s="506"/>
      <c r="BP49" s="507"/>
      <c r="BQ49" s="509"/>
      <c r="BR49" s="511"/>
      <c r="BS49" s="512"/>
      <c r="BT49" s="513"/>
      <c r="BU49" s="506"/>
      <c r="BV49" s="507"/>
      <c r="BW49" s="509"/>
      <c r="BX49" s="511"/>
      <c r="BY49" s="512"/>
      <c r="BZ49" s="513"/>
    </row>
    <row r="50" spans="1:87" ht="22.9" customHeight="1">
      <c r="A50" s="631"/>
      <c r="B50" s="659"/>
      <c r="C50" s="659"/>
      <c r="D50" s="660"/>
      <c r="E50" s="563"/>
      <c r="F50" s="564"/>
      <c r="G50" s="564"/>
      <c r="H50" s="565"/>
      <c r="I50" s="498"/>
      <c r="J50" s="499"/>
      <c r="K50" s="500"/>
      <c r="L50" s="523"/>
      <c r="M50" s="524"/>
      <c r="N50" s="525"/>
      <c r="O50" s="498"/>
      <c r="P50" s="499"/>
      <c r="Q50" s="500"/>
      <c r="R50" s="523"/>
      <c r="S50" s="524"/>
      <c r="T50" s="525"/>
      <c r="U50" s="498"/>
      <c r="V50" s="499"/>
      <c r="W50" s="500"/>
      <c r="X50" s="523"/>
      <c r="Y50" s="524"/>
      <c r="Z50" s="525"/>
      <c r="AA50" s="498"/>
      <c r="AB50" s="499"/>
      <c r="AC50" s="500"/>
      <c r="AD50" s="523"/>
      <c r="AE50" s="524"/>
      <c r="AF50" s="525"/>
      <c r="AG50" s="498"/>
      <c r="AH50" s="499"/>
      <c r="AI50" s="500"/>
      <c r="AJ50" s="523"/>
      <c r="AK50" s="524"/>
      <c r="AL50" s="525"/>
      <c r="AO50" s="698"/>
      <c r="AP50" s="331"/>
      <c r="AQ50" s="331"/>
      <c r="AR50" s="35"/>
      <c r="AS50" s="580" t="s">
        <v>108</v>
      </c>
      <c r="AT50" s="569"/>
      <c r="AU50" s="569"/>
      <c r="AV50" s="570"/>
      <c r="AW50" s="519"/>
      <c r="AX50" s="520"/>
      <c r="AY50" s="518" t="s">
        <v>109</v>
      </c>
      <c r="AZ50" s="517" t="s">
        <v>93</v>
      </c>
      <c r="BA50" s="484"/>
      <c r="BB50" s="485"/>
      <c r="BC50" s="526"/>
      <c r="BD50" s="527"/>
      <c r="BE50" s="530" t="s">
        <v>109</v>
      </c>
      <c r="BF50" s="517" t="s">
        <v>93</v>
      </c>
      <c r="BG50" s="484"/>
      <c r="BH50" s="485"/>
      <c r="BI50" s="526"/>
      <c r="BJ50" s="527"/>
      <c r="BK50" s="530" t="s">
        <v>109</v>
      </c>
      <c r="BL50" s="517" t="s">
        <v>93</v>
      </c>
      <c r="BM50" s="484"/>
      <c r="BN50" s="485"/>
      <c r="BO50" s="526"/>
      <c r="BP50" s="527"/>
      <c r="BQ50" s="530" t="s">
        <v>109</v>
      </c>
      <c r="BR50" s="517" t="s">
        <v>93</v>
      </c>
      <c r="BS50" s="484"/>
      <c r="BT50" s="485"/>
      <c r="BU50" s="526"/>
      <c r="BV50" s="527"/>
      <c r="BW50" s="530" t="s">
        <v>109</v>
      </c>
      <c r="BX50" s="517" t="s">
        <v>93</v>
      </c>
      <c r="BY50" s="484"/>
      <c r="BZ50" s="485"/>
    </row>
    <row r="51" spans="1:87" ht="22.9" customHeight="1">
      <c r="A51" s="631"/>
      <c r="B51" s="659"/>
      <c r="C51" s="659"/>
      <c r="D51" s="660"/>
      <c r="E51" s="687" t="s">
        <v>366</v>
      </c>
      <c r="F51" s="586"/>
      <c r="G51" s="586"/>
      <c r="H51" s="587"/>
      <c r="I51" s="539"/>
      <c r="J51" s="540"/>
      <c r="K51" s="554" t="s">
        <v>87</v>
      </c>
      <c r="L51" s="536" t="s">
        <v>93</v>
      </c>
      <c r="M51" s="537"/>
      <c r="N51" s="538"/>
      <c r="O51" s="539"/>
      <c r="P51" s="540"/>
      <c r="Q51" s="554" t="s">
        <v>87</v>
      </c>
      <c r="R51" s="536" t="s">
        <v>93</v>
      </c>
      <c r="S51" s="537"/>
      <c r="T51" s="538"/>
      <c r="U51" s="539"/>
      <c r="V51" s="540"/>
      <c r="W51" s="554" t="s">
        <v>87</v>
      </c>
      <c r="X51" s="536" t="s">
        <v>93</v>
      </c>
      <c r="Y51" s="537"/>
      <c r="Z51" s="538"/>
      <c r="AA51" s="539"/>
      <c r="AB51" s="540"/>
      <c r="AC51" s="554" t="s">
        <v>87</v>
      </c>
      <c r="AD51" s="536" t="s">
        <v>93</v>
      </c>
      <c r="AE51" s="537"/>
      <c r="AF51" s="538"/>
      <c r="AG51" s="539"/>
      <c r="AH51" s="540"/>
      <c r="AI51" s="554" t="s">
        <v>87</v>
      </c>
      <c r="AJ51" s="536" t="s">
        <v>93</v>
      </c>
      <c r="AK51" s="537"/>
      <c r="AL51" s="538"/>
      <c r="AO51" s="698"/>
      <c r="AP51" s="331"/>
      <c r="AQ51" s="331"/>
      <c r="AR51" s="35"/>
      <c r="AS51" s="571"/>
      <c r="AT51" s="572"/>
      <c r="AU51" s="572"/>
      <c r="AV51" s="573"/>
      <c r="AW51" s="498"/>
      <c r="AX51" s="499"/>
      <c r="AY51" s="500"/>
      <c r="AZ51" s="523"/>
      <c r="BA51" s="524"/>
      <c r="BB51" s="525"/>
      <c r="BC51" s="528"/>
      <c r="BD51" s="529"/>
      <c r="BE51" s="531"/>
      <c r="BF51" s="523"/>
      <c r="BG51" s="524"/>
      <c r="BH51" s="525"/>
      <c r="BI51" s="528"/>
      <c r="BJ51" s="529"/>
      <c r="BK51" s="531"/>
      <c r="BL51" s="523"/>
      <c r="BM51" s="524"/>
      <c r="BN51" s="525"/>
      <c r="BO51" s="528"/>
      <c r="BP51" s="529"/>
      <c r="BQ51" s="531"/>
      <c r="BR51" s="523"/>
      <c r="BS51" s="524"/>
      <c r="BT51" s="525"/>
      <c r="BU51" s="528"/>
      <c r="BV51" s="529"/>
      <c r="BW51" s="531"/>
      <c r="BX51" s="523"/>
      <c r="BY51" s="524"/>
      <c r="BZ51" s="525"/>
      <c r="CD51" s="40"/>
    </row>
    <row r="52" spans="1:87" ht="22.9" customHeight="1" thickBot="1">
      <c r="A52" s="632"/>
      <c r="B52" s="661"/>
      <c r="C52" s="661"/>
      <c r="D52" s="662"/>
      <c r="E52" s="588"/>
      <c r="F52" s="589"/>
      <c r="G52" s="589"/>
      <c r="H52" s="590"/>
      <c r="I52" s="521"/>
      <c r="J52" s="522"/>
      <c r="K52" s="510"/>
      <c r="L52" s="511"/>
      <c r="M52" s="512"/>
      <c r="N52" s="513"/>
      <c r="O52" s="521"/>
      <c r="P52" s="522"/>
      <c r="Q52" s="510"/>
      <c r="R52" s="511"/>
      <c r="S52" s="512"/>
      <c r="T52" s="513"/>
      <c r="U52" s="521"/>
      <c r="V52" s="522"/>
      <c r="W52" s="510"/>
      <c r="X52" s="511"/>
      <c r="Y52" s="512"/>
      <c r="Z52" s="513"/>
      <c r="AA52" s="521"/>
      <c r="AB52" s="522"/>
      <c r="AC52" s="510"/>
      <c r="AD52" s="511"/>
      <c r="AE52" s="512"/>
      <c r="AF52" s="513"/>
      <c r="AG52" s="521"/>
      <c r="AH52" s="522"/>
      <c r="AI52" s="510"/>
      <c r="AJ52" s="511"/>
      <c r="AK52" s="512"/>
      <c r="AL52" s="513"/>
      <c r="AO52" s="698"/>
      <c r="AP52" s="36"/>
      <c r="AQ52" s="36"/>
      <c r="AR52" s="37"/>
      <c r="AS52" s="581" t="s">
        <v>153</v>
      </c>
      <c r="AT52" s="561"/>
      <c r="AU52" s="561"/>
      <c r="AV52" s="562"/>
      <c r="AW52" s="498"/>
      <c r="AX52" s="499"/>
      <c r="AY52" s="602" t="s">
        <v>154</v>
      </c>
      <c r="AZ52" s="501" t="s">
        <v>93</v>
      </c>
      <c r="BA52" s="502"/>
      <c r="BB52" s="503"/>
      <c r="BC52" s="504"/>
      <c r="BD52" s="505"/>
      <c r="BE52" s="602" t="s">
        <v>154</v>
      </c>
      <c r="BF52" s="501" t="s">
        <v>93</v>
      </c>
      <c r="BG52" s="502"/>
      <c r="BH52" s="503"/>
      <c r="BI52" s="504"/>
      <c r="BJ52" s="505"/>
      <c r="BK52" s="602" t="s">
        <v>154</v>
      </c>
      <c r="BL52" s="501" t="s">
        <v>93</v>
      </c>
      <c r="BM52" s="502"/>
      <c r="BN52" s="503"/>
      <c r="BO52" s="504"/>
      <c r="BP52" s="505"/>
      <c r="BQ52" s="602" t="s">
        <v>154</v>
      </c>
      <c r="BR52" s="501" t="s">
        <v>93</v>
      </c>
      <c r="BS52" s="502"/>
      <c r="BT52" s="503"/>
      <c r="BU52" s="504"/>
      <c r="BV52" s="505"/>
      <c r="BW52" s="602" t="s">
        <v>154</v>
      </c>
      <c r="BX52" s="501" t="s">
        <v>93</v>
      </c>
      <c r="BY52" s="502"/>
      <c r="BZ52" s="503"/>
      <c r="CE52" s="40"/>
      <c r="CF52" s="40"/>
      <c r="CG52" s="40"/>
      <c r="CH52" s="40"/>
      <c r="CI52" s="40"/>
    </row>
    <row r="53" spans="1:87" s="40" customFormat="1" ht="22.9" customHeight="1" thickBot="1">
      <c r="AM53" s="29"/>
      <c r="AN53" s="41"/>
      <c r="AO53" s="698"/>
      <c r="AP53" s="38"/>
      <c r="AQ53" s="38"/>
      <c r="AR53" s="39"/>
      <c r="AS53" s="582"/>
      <c r="AT53" s="583"/>
      <c r="AU53" s="583"/>
      <c r="AV53" s="584"/>
      <c r="AW53" s="521"/>
      <c r="AX53" s="522"/>
      <c r="AY53" s="603"/>
      <c r="AZ53" s="511"/>
      <c r="BA53" s="512"/>
      <c r="BB53" s="513"/>
      <c r="BC53" s="506"/>
      <c r="BD53" s="507"/>
      <c r="BE53" s="603"/>
      <c r="BF53" s="511"/>
      <c r="BG53" s="512"/>
      <c r="BH53" s="513"/>
      <c r="BI53" s="506"/>
      <c r="BJ53" s="507"/>
      <c r="BK53" s="603"/>
      <c r="BL53" s="511"/>
      <c r="BM53" s="512"/>
      <c r="BN53" s="513"/>
      <c r="BO53" s="506"/>
      <c r="BP53" s="507"/>
      <c r="BQ53" s="603"/>
      <c r="BR53" s="511"/>
      <c r="BS53" s="512"/>
      <c r="BT53" s="513"/>
      <c r="BU53" s="506"/>
      <c r="BV53" s="507"/>
      <c r="BW53" s="603"/>
      <c r="BX53" s="511"/>
      <c r="BY53" s="512"/>
      <c r="BZ53" s="513"/>
      <c r="CD53" s="29"/>
      <c r="CE53" s="29"/>
      <c r="CF53" s="29"/>
      <c r="CG53" s="29"/>
      <c r="CH53" s="29"/>
      <c r="CI53" s="29"/>
    </row>
    <row r="54" spans="1:87" ht="22.9" customHeight="1">
      <c r="A54" s="775" t="s">
        <v>148</v>
      </c>
      <c r="B54" s="776" t="s">
        <v>379</v>
      </c>
      <c r="C54" s="776"/>
      <c r="D54" s="776"/>
      <c r="E54" s="776"/>
      <c r="F54" s="776"/>
      <c r="G54" s="776"/>
      <c r="H54" s="776"/>
      <c r="I54" s="776"/>
      <c r="J54" s="776"/>
      <c r="K54" s="776"/>
      <c r="L54" s="776"/>
      <c r="M54" s="776"/>
      <c r="N54" s="776"/>
      <c r="O54" s="776"/>
      <c r="P54" s="776"/>
      <c r="Q54" s="776"/>
      <c r="R54" s="776"/>
      <c r="S54" s="776"/>
      <c r="T54" s="776"/>
      <c r="U54" s="776"/>
      <c r="V54" s="776"/>
      <c r="W54" s="776"/>
      <c r="X54" s="776"/>
      <c r="Y54" s="776"/>
      <c r="Z54" s="776"/>
      <c r="AA54" s="776"/>
      <c r="AB54" s="776"/>
      <c r="AC54" s="776"/>
      <c r="AD54" s="776"/>
      <c r="AE54" s="776"/>
      <c r="AF54" s="776"/>
      <c r="AG54" s="776"/>
      <c r="AH54" s="776"/>
      <c r="AI54" s="776"/>
      <c r="AJ54" s="776"/>
      <c r="AK54" s="776"/>
      <c r="AL54" s="776"/>
      <c r="AM54" s="42"/>
      <c r="AO54" s="698"/>
      <c r="AP54" s="604" t="s">
        <v>149</v>
      </c>
      <c r="AQ54" s="604"/>
      <c r="AR54" s="605"/>
      <c r="AS54" s="585" t="s">
        <v>159</v>
      </c>
      <c r="AT54" s="586"/>
      <c r="AU54" s="586"/>
      <c r="AV54" s="587"/>
      <c r="AW54" s="539"/>
      <c r="AX54" s="540"/>
      <c r="AY54" s="554" t="s">
        <v>109</v>
      </c>
      <c r="AZ54" s="536" t="s">
        <v>93</v>
      </c>
      <c r="BA54" s="537"/>
      <c r="BB54" s="538"/>
      <c r="BC54" s="539"/>
      <c r="BD54" s="540"/>
      <c r="BE54" s="554" t="s">
        <v>109</v>
      </c>
      <c r="BF54" s="536" t="s">
        <v>93</v>
      </c>
      <c r="BG54" s="537"/>
      <c r="BH54" s="538"/>
      <c r="BI54" s="539"/>
      <c r="BJ54" s="540"/>
      <c r="BK54" s="554" t="s">
        <v>109</v>
      </c>
      <c r="BL54" s="536" t="s">
        <v>93</v>
      </c>
      <c r="BM54" s="537"/>
      <c r="BN54" s="538"/>
      <c r="BO54" s="539"/>
      <c r="BP54" s="540"/>
      <c r="BQ54" s="554" t="s">
        <v>109</v>
      </c>
      <c r="BR54" s="536" t="s">
        <v>93</v>
      </c>
      <c r="BS54" s="537"/>
      <c r="BT54" s="538"/>
      <c r="BU54" s="539"/>
      <c r="BV54" s="540"/>
      <c r="BW54" s="554" t="s">
        <v>109</v>
      </c>
      <c r="BX54" s="536" t="s">
        <v>93</v>
      </c>
      <c r="BY54" s="537"/>
      <c r="BZ54" s="538"/>
    </row>
    <row r="55" spans="1:87" ht="22.9" customHeight="1">
      <c r="A55" s="775"/>
      <c r="B55" s="776"/>
      <c r="C55" s="776"/>
      <c r="D55" s="776"/>
      <c r="E55" s="776"/>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776"/>
      <c r="AE55" s="776"/>
      <c r="AF55" s="776"/>
      <c r="AG55" s="776"/>
      <c r="AH55" s="776"/>
      <c r="AI55" s="776"/>
      <c r="AJ55" s="776"/>
      <c r="AK55" s="776"/>
      <c r="AL55" s="776"/>
      <c r="AM55" s="42"/>
      <c r="AO55" s="698"/>
      <c r="AP55" s="604"/>
      <c r="AQ55" s="604"/>
      <c r="AR55" s="605"/>
      <c r="AS55" s="687"/>
      <c r="AT55" s="586"/>
      <c r="AU55" s="586"/>
      <c r="AV55" s="587"/>
      <c r="AW55" s="541"/>
      <c r="AX55" s="542"/>
      <c r="AY55" s="555"/>
      <c r="AZ55" s="608"/>
      <c r="BA55" s="609"/>
      <c r="BB55" s="610"/>
      <c r="BC55" s="541"/>
      <c r="BD55" s="542"/>
      <c r="BE55" s="555"/>
      <c r="BF55" s="608"/>
      <c r="BG55" s="609"/>
      <c r="BH55" s="610"/>
      <c r="BI55" s="541"/>
      <c r="BJ55" s="542"/>
      <c r="BK55" s="555"/>
      <c r="BL55" s="608"/>
      <c r="BM55" s="609"/>
      <c r="BN55" s="610"/>
      <c r="BO55" s="541"/>
      <c r="BP55" s="542"/>
      <c r="BQ55" s="555"/>
      <c r="BR55" s="608"/>
      <c r="BS55" s="609"/>
      <c r="BT55" s="610"/>
      <c r="BU55" s="541"/>
      <c r="BV55" s="542"/>
      <c r="BW55" s="555"/>
      <c r="BX55" s="608"/>
      <c r="BY55" s="609"/>
      <c r="BZ55" s="610"/>
    </row>
    <row r="56" spans="1:87" ht="30" customHeight="1">
      <c r="A56" s="775"/>
      <c r="B56" s="776"/>
      <c r="C56" s="776"/>
      <c r="D56" s="776"/>
      <c r="E56" s="776"/>
      <c r="F56" s="776"/>
      <c r="G56" s="776"/>
      <c r="H56" s="776"/>
      <c r="I56" s="776"/>
      <c r="J56" s="776"/>
      <c r="K56" s="776"/>
      <c r="L56" s="776"/>
      <c r="M56" s="776"/>
      <c r="N56" s="776"/>
      <c r="O56" s="776"/>
      <c r="P56" s="776"/>
      <c r="Q56" s="776"/>
      <c r="R56" s="776"/>
      <c r="S56" s="776"/>
      <c r="T56" s="776"/>
      <c r="U56" s="776"/>
      <c r="V56" s="776"/>
      <c r="W56" s="776"/>
      <c r="X56" s="776"/>
      <c r="Y56" s="776"/>
      <c r="Z56" s="776"/>
      <c r="AA56" s="776"/>
      <c r="AB56" s="776"/>
      <c r="AC56" s="776"/>
      <c r="AD56" s="776"/>
      <c r="AE56" s="776"/>
      <c r="AF56" s="776"/>
      <c r="AG56" s="776"/>
      <c r="AH56" s="776"/>
      <c r="AI56" s="776"/>
      <c r="AJ56" s="776"/>
      <c r="AK56" s="776"/>
      <c r="AL56" s="776"/>
      <c r="AM56" s="42"/>
      <c r="AO56" s="698"/>
      <c r="AP56" s="604"/>
      <c r="AQ56" s="604"/>
      <c r="AR56" s="605"/>
      <c r="AS56" s="581" t="s">
        <v>161</v>
      </c>
      <c r="AT56" s="561"/>
      <c r="AU56" s="561"/>
      <c r="AV56" s="562"/>
      <c r="AW56" s="498"/>
      <c r="AX56" s="499"/>
      <c r="AY56" s="500" t="s">
        <v>141</v>
      </c>
      <c r="AZ56" s="501" t="s">
        <v>93</v>
      </c>
      <c r="BA56" s="502"/>
      <c r="BB56" s="503"/>
      <c r="BC56" s="498"/>
      <c r="BD56" s="499"/>
      <c r="BE56" s="500" t="s">
        <v>141</v>
      </c>
      <c r="BF56" s="501" t="s">
        <v>93</v>
      </c>
      <c r="BG56" s="502"/>
      <c r="BH56" s="503"/>
      <c r="BI56" s="498"/>
      <c r="BJ56" s="499"/>
      <c r="BK56" s="500" t="s">
        <v>141</v>
      </c>
      <c r="BL56" s="501" t="s">
        <v>93</v>
      </c>
      <c r="BM56" s="502"/>
      <c r="BN56" s="503"/>
      <c r="BO56" s="498"/>
      <c r="BP56" s="499"/>
      <c r="BQ56" s="500" t="s">
        <v>141</v>
      </c>
      <c r="BR56" s="501" t="s">
        <v>93</v>
      </c>
      <c r="BS56" s="502"/>
      <c r="BT56" s="503"/>
      <c r="BU56" s="498"/>
      <c r="BV56" s="499"/>
      <c r="BW56" s="500" t="s">
        <v>141</v>
      </c>
      <c r="BX56" s="501" t="s">
        <v>93</v>
      </c>
      <c r="BY56" s="502"/>
      <c r="BZ56" s="503"/>
    </row>
    <row r="57" spans="1:87" ht="30" customHeight="1">
      <c r="A57" s="775"/>
      <c r="B57" s="776"/>
      <c r="C57" s="776"/>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c r="AI57" s="776"/>
      <c r="AJ57" s="776"/>
      <c r="AK57" s="776"/>
      <c r="AL57" s="776"/>
      <c r="AM57" s="42"/>
      <c r="AO57" s="698"/>
      <c r="AP57" s="604"/>
      <c r="AQ57" s="604"/>
      <c r="AR57" s="605"/>
      <c r="AS57" s="563"/>
      <c r="AT57" s="564"/>
      <c r="AU57" s="564"/>
      <c r="AV57" s="565"/>
      <c r="AW57" s="498"/>
      <c r="AX57" s="499"/>
      <c r="AY57" s="500"/>
      <c r="AZ57" s="495"/>
      <c r="BA57" s="496"/>
      <c r="BB57" s="497"/>
      <c r="BC57" s="498"/>
      <c r="BD57" s="499"/>
      <c r="BE57" s="500"/>
      <c r="BF57" s="495"/>
      <c r="BG57" s="496"/>
      <c r="BH57" s="497"/>
      <c r="BI57" s="498"/>
      <c r="BJ57" s="499"/>
      <c r="BK57" s="500"/>
      <c r="BL57" s="495"/>
      <c r="BM57" s="496"/>
      <c r="BN57" s="497"/>
      <c r="BO57" s="498"/>
      <c r="BP57" s="499"/>
      <c r="BQ57" s="500"/>
      <c r="BR57" s="495"/>
      <c r="BS57" s="496"/>
      <c r="BT57" s="497"/>
      <c r="BU57" s="498"/>
      <c r="BV57" s="499"/>
      <c r="BW57" s="500"/>
      <c r="BX57" s="495"/>
      <c r="BY57" s="496"/>
      <c r="BZ57" s="497"/>
    </row>
    <row r="58" spans="1:87" ht="30" customHeight="1">
      <c r="A58" s="775"/>
      <c r="B58" s="776"/>
      <c r="C58" s="776"/>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76"/>
      <c r="AO58" s="698"/>
      <c r="AP58" s="604"/>
      <c r="AQ58" s="604"/>
      <c r="AR58" s="605"/>
      <c r="AS58" s="581" t="s">
        <v>139</v>
      </c>
      <c r="AT58" s="561"/>
      <c r="AU58" s="561"/>
      <c r="AV58" s="562"/>
      <c r="AW58" s="498"/>
      <c r="AX58" s="499"/>
      <c r="AY58" s="500" t="s">
        <v>142</v>
      </c>
      <c r="AZ58" s="501" t="s">
        <v>93</v>
      </c>
      <c r="BA58" s="502"/>
      <c r="BB58" s="503"/>
      <c r="BC58" s="498"/>
      <c r="BD58" s="499"/>
      <c r="BE58" s="500" t="s">
        <v>142</v>
      </c>
      <c r="BF58" s="501" t="s">
        <v>93</v>
      </c>
      <c r="BG58" s="502"/>
      <c r="BH58" s="503"/>
      <c r="BI58" s="498"/>
      <c r="BJ58" s="499"/>
      <c r="BK58" s="500" t="s">
        <v>142</v>
      </c>
      <c r="BL58" s="501" t="s">
        <v>93</v>
      </c>
      <c r="BM58" s="502"/>
      <c r="BN58" s="503"/>
      <c r="BO58" s="498"/>
      <c r="BP58" s="499"/>
      <c r="BQ58" s="500" t="s">
        <v>142</v>
      </c>
      <c r="BR58" s="501" t="s">
        <v>93</v>
      </c>
      <c r="BS58" s="502"/>
      <c r="BT58" s="503"/>
      <c r="BU58" s="498"/>
      <c r="BV58" s="499"/>
      <c r="BW58" s="500" t="s">
        <v>142</v>
      </c>
      <c r="BX58" s="501" t="s">
        <v>93</v>
      </c>
      <c r="BY58" s="502"/>
      <c r="BZ58" s="503"/>
    </row>
    <row r="59" spans="1:87" ht="30" customHeight="1">
      <c r="A59" s="775"/>
      <c r="B59" s="776"/>
      <c r="C59" s="776"/>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c r="AH59" s="776"/>
      <c r="AI59" s="776"/>
      <c r="AJ59" s="776"/>
      <c r="AK59" s="776"/>
      <c r="AL59" s="776"/>
      <c r="AM59" s="41"/>
      <c r="AO59" s="698"/>
      <c r="AP59" s="604"/>
      <c r="AQ59" s="604"/>
      <c r="AR59" s="605"/>
      <c r="AS59" s="563"/>
      <c r="AT59" s="564"/>
      <c r="AU59" s="564"/>
      <c r="AV59" s="565"/>
      <c r="AW59" s="498"/>
      <c r="AX59" s="499"/>
      <c r="AY59" s="500"/>
      <c r="AZ59" s="495"/>
      <c r="BA59" s="496"/>
      <c r="BB59" s="497"/>
      <c r="BC59" s="498"/>
      <c r="BD59" s="499"/>
      <c r="BE59" s="500"/>
      <c r="BF59" s="495"/>
      <c r="BG59" s="496"/>
      <c r="BH59" s="497"/>
      <c r="BI59" s="498"/>
      <c r="BJ59" s="499"/>
      <c r="BK59" s="500"/>
      <c r="BL59" s="495"/>
      <c r="BM59" s="496"/>
      <c r="BN59" s="497"/>
      <c r="BO59" s="498"/>
      <c r="BP59" s="499"/>
      <c r="BQ59" s="500"/>
      <c r="BR59" s="495"/>
      <c r="BS59" s="496"/>
      <c r="BT59" s="497"/>
      <c r="BU59" s="498"/>
      <c r="BV59" s="499"/>
      <c r="BW59" s="500"/>
      <c r="BX59" s="495"/>
      <c r="BY59" s="496"/>
      <c r="BZ59" s="497"/>
    </row>
    <row r="60" spans="1:87" ht="30" customHeight="1">
      <c r="A60" s="338"/>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O60" s="698"/>
      <c r="AP60" s="604"/>
      <c r="AQ60" s="604"/>
      <c r="AR60" s="605"/>
      <c r="AS60" s="585" t="s">
        <v>140</v>
      </c>
      <c r="AT60" s="586"/>
      <c r="AU60" s="586"/>
      <c r="AV60" s="587"/>
      <c r="AW60" s="539"/>
      <c r="AX60" s="540"/>
      <c r="AY60" s="554" t="s">
        <v>142</v>
      </c>
      <c r="AZ60" s="536" t="s">
        <v>93</v>
      </c>
      <c r="BA60" s="537"/>
      <c r="BB60" s="538"/>
      <c r="BC60" s="539"/>
      <c r="BD60" s="540"/>
      <c r="BE60" s="554" t="s">
        <v>142</v>
      </c>
      <c r="BF60" s="536" t="s">
        <v>93</v>
      </c>
      <c r="BG60" s="537"/>
      <c r="BH60" s="538"/>
      <c r="BI60" s="539"/>
      <c r="BJ60" s="540"/>
      <c r="BK60" s="554" t="s">
        <v>142</v>
      </c>
      <c r="BL60" s="536" t="s">
        <v>93</v>
      </c>
      <c r="BM60" s="537"/>
      <c r="BN60" s="538"/>
      <c r="BO60" s="539"/>
      <c r="BP60" s="540"/>
      <c r="BQ60" s="554" t="s">
        <v>142</v>
      </c>
      <c r="BR60" s="536" t="s">
        <v>93</v>
      </c>
      <c r="BS60" s="537"/>
      <c r="BT60" s="538"/>
      <c r="BU60" s="539"/>
      <c r="BV60" s="540"/>
      <c r="BW60" s="554" t="s">
        <v>142</v>
      </c>
      <c r="BX60" s="536" t="s">
        <v>93</v>
      </c>
      <c r="BY60" s="537"/>
      <c r="BZ60" s="538"/>
    </row>
    <row r="61" spans="1:87" ht="24.75" customHeight="1" thickBo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O61" s="699"/>
      <c r="AP61" s="606"/>
      <c r="AQ61" s="606"/>
      <c r="AR61" s="607"/>
      <c r="AS61" s="588"/>
      <c r="AT61" s="589"/>
      <c r="AU61" s="589"/>
      <c r="AV61" s="590"/>
      <c r="AW61" s="521"/>
      <c r="AX61" s="522"/>
      <c r="AY61" s="510"/>
      <c r="AZ61" s="514"/>
      <c r="BA61" s="515"/>
      <c r="BB61" s="516"/>
      <c r="BC61" s="521"/>
      <c r="BD61" s="522"/>
      <c r="BE61" s="510"/>
      <c r="BF61" s="514"/>
      <c r="BG61" s="515"/>
      <c r="BH61" s="516"/>
      <c r="BI61" s="521"/>
      <c r="BJ61" s="522"/>
      <c r="BK61" s="510"/>
      <c r="BL61" s="514"/>
      <c r="BM61" s="515"/>
      <c r="BN61" s="516"/>
      <c r="BO61" s="521"/>
      <c r="BP61" s="522"/>
      <c r="BQ61" s="510"/>
      <c r="BR61" s="514"/>
      <c r="BS61" s="515"/>
      <c r="BT61" s="516"/>
      <c r="BU61" s="521"/>
      <c r="BV61" s="522"/>
      <c r="BW61" s="510"/>
      <c r="BX61" s="514"/>
      <c r="BY61" s="515"/>
      <c r="BZ61" s="516"/>
    </row>
    <row r="62" spans="1:87">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row>
    <row r="63" spans="1:87">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spans="1:87">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spans="1:38">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spans="1:38">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sheetData>
  <sheetProtection algorithmName="SHA-512" hashValue="0Q0DXeEDX4Qk0bbgTUuAP+h3qiNmjQ7pcLjHvLJsRXVpXKUh6M6beKHKXfjLi+9dB/mXfyPLJTPXjsZUSWr74Q==" saltValue="88HuWkWbGkE4H3cec8HuGw==" spinCount="100000" sheet="1" selectLockedCells="1" autoFilter="0"/>
  <mergeCells count="1004">
    <mergeCell ref="B17:D19"/>
    <mergeCell ref="B23:D25"/>
    <mergeCell ref="B26:D28"/>
    <mergeCell ref="E26:H26"/>
    <mergeCell ref="E27:H27"/>
    <mergeCell ref="I25:K25"/>
    <mergeCell ref="L25:N25"/>
    <mergeCell ref="O25:Q25"/>
    <mergeCell ref="R25:T25"/>
    <mergeCell ref="U25:W25"/>
    <mergeCell ref="X25:Z25"/>
    <mergeCell ref="AA25:AC25"/>
    <mergeCell ref="AD25:AF25"/>
    <mergeCell ref="AG25:AI25"/>
    <mergeCell ref="I27:L27"/>
    <mergeCell ref="M27:N27"/>
    <mergeCell ref="O27:R27"/>
    <mergeCell ref="S27:T27"/>
    <mergeCell ref="U27:X27"/>
    <mergeCell ref="Y27:Z27"/>
    <mergeCell ref="R22:T22"/>
    <mergeCell ref="I28:K28"/>
    <mergeCell ref="L28:N28"/>
    <mergeCell ref="O28:Q28"/>
    <mergeCell ref="R28:T28"/>
    <mergeCell ref="U28:W28"/>
    <mergeCell ref="X28:Z28"/>
    <mergeCell ref="AA28:AC28"/>
    <mergeCell ref="AD28:AF28"/>
    <mergeCell ref="U17:Z17"/>
    <mergeCell ref="S18:T18"/>
    <mergeCell ref="U18:X18"/>
    <mergeCell ref="A54:A59"/>
    <mergeCell ref="B54:AL59"/>
    <mergeCell ref="A5:V5"/>
    <mergeCell ref="A6:V8"/>
    <mergeCell ref="A35:A52"/>
    <mergeCell ref="E51:H52"/>
    <mergeCell ref="I51:J52"/>
    <mergeCell ref="K51:K52"/>
    <mergeCell ref="L51:N51"/>
    <mergeCell ref="O51:P52"/>
    <mergeCell ref="Q51:Q52"/>
    <mergeCell ref="R51:T51"/>
    <mergeCell ref="U51:V52"/>
    <mergeCell ref="W51:W52"/>
    <mergeCell ref="X51:Z51"/>
    <mergeCell ref="AA51:AB52"/>
    <mergeCell ref="AC51:AC52"/>
    <mergeCell ref="AD51:AF51"/>
    <mergeCell ref="AG51:AH52"/>
    <mergeCell ref="AI51:AI52"/>
    <mergeCell ref="AJ51:AL51"/>
    <mergeCell ref="L52:N52"/>
    <mergeCell ref="R52:T52"/>
    <mergeCell ref="X52:Z52"/>
    <mergeCell ref="AD30:AF30"/>
    <mergeCell ref="AJ30:AL30"/>
    <mergeCell ref="I18:L18"/>
    <mergeCell ref="M18:N18"/>
    <mergeCell ref="O18:R18"/>
    <mergeCell ref="E17:H17"/>
    <mergeCell ref="I17:N17"/>
    <mergeCell ref="O17:T17"/>
    <mergeCell ref="AP7:AP8"/>
    <mergeCell ref="AO5:AO8"/>
    <mergeCell ref="BB7:BB8"/>
    <mergeCell ref="AX7:AX8"/>
    <mergeCell ref="BB5:BB6"/>
    <mergeCell ref="AP5:AP6"/>
    <mergeCell ref="AA12:AF13"/>
    <mergeCell ref="AG12:AL13"/>
    <mergeCell ref="AG17:AL17"/>
    <mergeCell ref="AA24:AD24"/>
    <mergeCell ref="AD32:AF32"/>
    <mergeCell ref="AJ32:AL32"/>
    <mergeCell ref="I24:L24"/>
    <mergeCell ref="AA18:AD18"/>
    <mergeCell ref="I23:N23"/>
    <mergeCell ref="O23:T23"/>
    <mergeCell ref="W29:W30"/>
    <mergeCell ref="X29:Z29"/>
    <mergeCell ref="S24:T24"/>
    <mergeCell ref="O19:Q19"/>
    <mergeCell ref="R19:T19"/>
    <mergeCell ref="U19:W19"/>
    <mergeCell ref="X19:Z19"/>
    <mergeCell ref="AA19:AC19"/>
    <mergeCell ref="AD19:AF19"/>
    <mergeCell ref="AG19:AI19"/>
    <mergeCell ref="U22:W22"/>
    <mergeCell ref="X22:Z22"/>
    <mergeCell ref="AA22:AC22"/>
    <mergeCell ref="AD22:AF22"/>
    <mergeCell ref="AG22:AI22"/>
    <mergeCell ref="AJ22:AL22"/>
    <mergeCell ref="AK3:AL4"/>
    <mergeCell ref="Y6:AL6"/>
    <mergeCell ref="Y7:AL7"/>
    <mergeCell ref="Y8:AL8"/>
    <mergeCell ref="I10:N11"/>
    <mergeCell ref="O10:T11"/>
    <mergeCell ref="U10:Z11"/>
    <mergeCell ref="AA10:AF11"/>
    <mergeCell ref="AG10:AL11"/>
    <mergeCell ref="A1:N3"/>
    <mergeCell ref="Q1:AL1"/>
    <mergeCell ref="A10:H11"/>
    <mergeCell ref="Y3:AJ4"/>
    <mergeCell ref="BF51:BH51"/>
    <mergeCell ref="BL51:BN51"/>
    <mergeCell ref="BK38:BK39"/>
    <mergeCell ref="AG33:AH34"/>
    <mergeCell ref="AI33:AI34"/>
    <mergeCell ref="AJ33:AL33"/>
    <mergeCell ref="AD34:AF34"/>
    <mergeCell ref="AJ34:AL34"/>
    <mergeCell ref="BC34:BD35"/>
    <mergeCell ref="BE34:BE35"/>
    <mergeCell ref="AG39:AH40"/>
    <mergeCell ref="AI39:AI40"/>
    <mergeCell ref="AI35:AI36"/>
    <mergeCell ref="AD37:AF37"/>
    <mergeCell ref="BK34:BK35"/>
    <mergeCell ref="AZ36:BB36"/>
    <mergeCell ref="BC36:BD37"/>
    <mergeCell ref="AO3:AP4"/>
    <mergeCell ref="BD8:BE8"/>
    <mergeCell ref="AV6:AW6"/>
    <mergeCell ref="BU12:BZ13"/>
    <mergeCell ref="BU50:BV51"/>
    <mergeCell ref="BW50:BW51"/>
    <mergeCell ref="BI40:BJ41"/>
    <mergeCell ref="BK40:BK41"/>
    <mergeCell ref="BL40:BN40"/>
    <mergeCell ref="AZ44:BB44"/>
    <mergeCell ref="BC44:BD45"/>
    <mergeCell ref="BE44:BE45"/>
    <mergeCell ref="BF44:BH44"/>
    <mergeCell ref="BI44:BJ45"/>
    <mergeCell ref="BK44:BK45"/>
    <mergeCell ref="BU44:BV45"/>
    <mergeCell ref="BW44:BW45"/>
    <mergeCell ref="BX44:BZ44"/>
    <mergeCell ref="BX41:BZ41"/>
    <mergeCell ref="BO40:BP41"/>
    <mergeCell ref="BU40:BV41"/>
    <mergeCell ref="BF26:BH26"/>
    <mergeCell ref="BI26:BJ27"/>
    <mergeCell ref="BX39:BZ39"/>
    <mergeCell ref="BL38:BN38"/>
    <mergeCell ref="BO38:BP39"/>
    <mergeCell ref="BQ38:BQ39"/>
    <mergeCell ref="BR38:BT38"/>
    <mergeCell ref="BU38:BV39"/>
    <mergeCell ref="BW38:BW39"/>
    <mergeCell ref="BX38:BZ38"/>
    <mergeCell ref="BQ34:BQ35"/>
    <mergeCell ref="BR34:BT34"/>
    <mergeCell ref="BU34:BV35"/>
    <mergeCell ref="BR39:BT39"/>
    <mergeCell ref="BL39:BN39"/>
    <mergeCell ref="CD3:CH5"/>
    <mergeCell ref="CD6:CH6"/>
    <mergeCell ref="CD7:CH7"/>
    <mergeCell ref="CD8:CH9"/>
    <mergeCell ref="BF7:BG7"/>
    <mergeCell ref="BF8:BG8"/>
    <mergeCell ref="BH7:BZ7"/>
    <mergeCell ref="BH8:BZ8"/>
    <mergeCell ref="BJ5:BM6"/>
    <mergeCell ref="BN5:BZ6"/>
    <mergeCell ref="AQ3:BZ4"/>
    <mergeCell ref="BF5:BF6"/>
    <mergeCell ref="BG5:BH6"/>
    <mergeCell ref="AR5:AS5"/>
    <mergeCell ref="AT5:AT6"/>
    <mergeCell ref="AV5:AW5"/>
    <mergeCell ref="AR8:AS8"/>
    <mergeCell ref="AR7:AS7"/>
    <mergeCell ref="AR6:AS6"/>
    <mergeCell ref="AT7:AT8"/>
    <mergeCell ref="AX5:AX6"/>
    <mergeCell ref="BD7:BE7"/>
    <mergeCell ref="BD6:BE6"/>
    <mergeCell ref="BD5:BE5"/>
    <mergeCell ref="AZ8:BA8"/>
    <mergeCell ref="AZ7:BA7"/>
    <mergeCell ref="AZ6:BA6"/>
    <mergeCell ref="AZ5:BA5"/>
    <mergeCell ref="AV8:AW8"/>
    <mergeCell ref="AV7:AW7"/>
    <mergeCell ref="BF36:BH36"/>
    <mergeCell ref="AZ35:BB35"/>
    <mergeCell ref="BF35:BH35"/>
    <mergeCell ref="BF34:BH34"/>
    <mergeCell ref="BX34:BZ34"/>
    <mergeCell ref="BL36:BN36"/>
    <mergeCell ref="BO36:BP37"/>
    <mergeCell ref="BQ36:BQ37"/>
    <mergeCell ref="BR36:BT36"/>
    <mergeCell ref="BU36:BV37"/>
    <mergeCell ref="BW36:BW37"/>
    <mergeCell ref="BX36:BZ36"/>
    <mergeCell ref="BL37:BN37"/>
    <mergeCell ref="BR37:BT37"/>
    <mergeCell ref="BX37:BZ37"/>
    <mergeCell ref="BL35:BN35"/>
    <mergeCell ref="BR35:BT35"/>
    <mergeCell ref="BW34:BW35"/>
    <mergeCell ref="AA15:AD15"/>
    <mergeCell ref="AE16:AF16"/>
    <mergeCell ref="AG16:AJ16"/>
    <mergeCell ref="AK16:AL16"/>
    <mergeCell ref="AD48:AF48"/>
    <mergeCell ref="AJ45:AL45"/>
    <mergeCell ref="AS54:AV55"/>
    <mergeCell ref="AS44:AV45"/>
    <mergeCell ref="AJ47:AL47"/>
    <mergeCell ref="AS22:AV23"/>
    <mergeCell ref="AW22:AX23"/>
    <mergeCell ref="AY22:AY23"/>
    <mergeCell ref="AZ22:BB22"/>
    <mergeCell ref="AJ25:AL25"/>
    <mergeCell ref="AJ28:AL28"/>
    <mergeCell ref="BE28:BE29"/>
    <mergeCell ref="AG27:AJ27"/>
    <mergeCell ref="AY28:AY29"/>
    <mergeCell ref="BC22:BD23"/>
    <mergeCell ref="AY26:AY27"/>
    <mergeCell ref="AY24:AY25"/>
    <mergeCell ref="AZ24:BB24"/>
    <mergeCell ref="BC24:BD25"/>
    <mergeCell ref="AZ25:BB25"/>
    <mergeCell ref="BE36:BE37"/>
    <mergeCell ref="AS20:AV21"/>
    <mergeCell ref="AW20:AX21"/>
    <mergeCell ref="AS24:AV25"/>
    <mergeCell ref="AW24:AX25"/>
    <mergeCell ref="AS26:AV27"/>
    <mergeCell ref="AW26:AX27"/>
    <mergeCell ref="AG23:AL23"/>
    <mergeCell ref="AS28:AV29"/>
    <mergeCell ref="AW28:AX29"/>
    <mergeCell ref="AO14:AO61"/>
    <mergeCell ref="AP14:AQ49"/>
    <mergeCell ref="AS48:AV49"/>
    <mergeCell ref="AW48:AX49"/>
    <mergeCell ref="AR46:AR49"/>
    <mergeCell ref="AR34:AR45"/>
    <mergeCell ref="AA23:AF23"/>
    <mergeCell ref="AC31:AC32"/>
    <mergeCell ref="AD31:AF31"/>
    <mergeCell ref="AJ38:AL38"/>
    <mergeCell ref="AD38:AF38"/>
    <mergeCell ref="AG18:AJ18"/>
    <mergeCell ref="AK18:AL18"/>
    <mergeCell ref="AI31:AI32"/>
    <mergeCell ref="AJ31:AL31"/>
    <mergeCell ref="AI29:AI30"/>
    <mergeCell ref="AJ29:AL29"/>
    <mergeCell ref="AW50:AX51"/>
    <mergeCell ref="AD52:AF52"/>
    <mergeCell ref="AJ52:AL52"/>
    <mergeCell ref="AK24:AL24"/>
    <mergeCell ref="AG24:AJ24"/>
    <mergeCell ref="AE18:AF18"/>
    <mergeCell ref="Y18:Z18"/>
    <mergeCell ref="AA20:AF20"/>
    <mergeCell ref="AG20:AL20"/>
    <mergeCell ref="AA21:AD21"/>
    <mergeCell ref="AE21:AF21"/>
    <mergeCell ref="AG21:AJ21"/>
    <mergeCell ref="AK21:AL21"/>
    <mergeCell ref="AE24:AF24"/>
    <mergeCell ref="Y24:Z24"/>
    <mergeCell ref="U23:Z23"/>
    <mergeCell ref="U24:X24"/>
    <mergeCell ref="M24:N24"/>
    <mergeCell ref="O24:R24"/>
    <mergeCell ref="E19:H19"/>
    <mergeCell ref="E24:H24"/>
    <mergeCell ref="E23:H23"/>
    <mergeCell ref="AJ19:AL19"/>
    <mergeCell ref="I22:K22"/>
    <mergeCell ref="L22:N22"/>
    <mergeCell ref="O22:Q22"/>
    <mergeCell ref="E22:H22"/>
    <mergeCell ref="I19:K19"/>
    <mergeCell ref="L19:N19"/>
    <mergeCell ref="E18:H18"/>
    <mergeCell ref="I21:L21"/>
    <mergeCell ref="M21:N21"/>
    <mergeCell ref="O21:R21"/>
    <mergeCell ref="S21:T21"/>
    <mergeCell ref="U21:X21"/>
    <mergeCell ref="Y21:Z21"/>
    <mergeCell ref="AA17:AF17"/>
    <mergeCell ref="AE15:AF15"/>
    <mergeCell ref="AG15:AJ15"/>
    <mergeCell ref="AK15:AL15"/>
    <mergeCell ref="BR24:BT24"/>
    <mergeCell ref="BR23:BT23"/>
    <mergeCell ref="BE22:BE23"/>
    <mergeCell ref="BF22:BH22"/>
    <mergeCell ref="BI22:BJ23"/>
    <mergeCell ref="BK22:BK23"/>
    <mergeCell ref="BL22:BN22"/>
    <mergeCell ref="BO22:BP23"/>
    <mergeCell ref="BQ22:BQ23"/>
    <mergeCell ref="BF23:BH23"/>
    <mergeCell ref="BL23:BN23"/>
    <mergeCell ref="BL15:BN15"/>
    <mergeCell ref="BR15:BT15"/>
    <mergeCell ref="AZ19:BB19"/>
    <mergeCell ref="BF19:BH19"/>
    <mergeCell ref="AZ21:BB21"/>
    <mergeCell ref="BE14:BE15"/>
    <mergeCell ref="BF14:BH14"/>
    <mergeCell ref="BE16:BE17"/>
    <mergeCell ref="BF16:BH16"/>
    <mergeCell ref="BF17:BH17"/>
    <mergeCell ref="AZ17:BB17"/>
    <mergeCell ref="BL20:BN20"/>
    <mergeCell ref="BO20:BP21"/>
    <mergeCell ref="BQ20:BQ21"/>
    <mergeCell ref="BR20:BT20"/>
    <mergeCell ref="BE24:BE25"/>
    <mergeCell ref="AS18:AV19"/>
    <mergeCell ref="BK30:BK31"/>
    <mergeCell ref="BQ30:BQ31"/>
    <mergeCell ref="BR30:BT30"/>
    <mergeCell ref="BU30:BV31"/>
    <mergeCell ref="BW30:BW31"/>
    <mergeCell ref="BX30:BZ30"/>
    <mergeCell ref="BL30:BN30"/>
    <mergeCell ref="BO30:BP31"/>
    <mergeCell ref="AZ31:BB31"/>
    <mergeCell ref="BF31:BH31"/>
    <mergeCell ref="BF29:BH29"/>
    <mergeCell ref="AZ29:BB29"/>
    <mergeCell ref="AZ27:BB27"/>
    <mergeCell ref="BF27:BH27"/>
    <mergeCell ref="AZ26:BB26"/>
    <mergeCell ref="BC26:BD27"/>
    <mergeCell ref="BE26:BE27"/>
    <mergeCell ref="AZ28:BB28"/>
    <mergeCell ref="BC28:BD29"/>
    <mergeCell ref="BF28:BH28"/>
    <mergeCell ref="BL31:BN31"/>
    <mergeCell ref="BR31:BT31"/>
    <mergeCell ref="BX31:BZ31"/>
    <mergeCell ref="BL29:BN29"/>
    <mergeCell ref="BR29:BT29"/>
    <mergeCell ref="BX29:BZ29"/>
    <mergeCell ref="BO28:BP29"/>
    <mergeCell ref="BQ28:BQ29"/>
    <mergeCell ref="BX25:BZ25"/>
    <mergeCell ref="BL26:BN26"/>
    <mergeCell ref="BO26:BP27"/>
    <mergeCell ref="BQ26:BQ27"/>
    <mergeCell ref="BR26:BT26"/>
    <mergeCell ref="BU26:BV27"/>
    <mergeCell ref="BW26:BW27"/>
    <mergeCell ref="BX26:BZ26"/>
    <mergeCell ref="AZ20:BB20"/>
    <mergeCell ref="BC20:BD21"/>
    <mergeCell ref="BL21:BN21"/>
    <mergeCell ref="AW18:AX19"/>
    <mergeCell ref="BW22:BW23"/>
    <mergeCell ref="BX22:BZ22"/>
    <mergeCell ref="AZ23:BB23"/>
    <mergeCell ref="BE20:BE21"/>
    <mergeCell ref="BX23:BZ23"/>
    <mergeCell ref="BL24:BN24"/>
    <mergeCell ref="BO24:BP25"/>
    <mergeCell ref="BF24:BH24"/>
    <mergeCell ref="BF25:BH25"/>
    <mergeCell ref="BL18:BN18"/>
    <mergeCell ref="BO18:BP19"/>
    <mergeCell ref="BQ18:BQ19"/>
    <mergeCell ref="BR18:BT18"/>
    <mergeCell ref="BL14:BN14"/>
    <mergeCell ref="BO14:BP15"/>
    <mergeCell ref="BQ14:BQ15"/>
    <mergeCell ref="BR14:BT14"/>
    <mergeCell ref="BX21:BZ21"/>
    <mergeCell ref="BL19:BN19"/>
    <mergeCell ref="BR19:BT19"/>
    <mergeCell ref="BX19:BZ19"/>
    <mergeCell ref="BU20:BV21"/>
    <mergeCell ref="BI20:BJ21"/>
    <mergeCell ref="BK20:BK21"/>
    <mergeCell ref="BK28:BK29"/>
    <mergeCell ref="BL27:BN27"/>
    <mergeCell ref="BR27:BT27"/>
    <mergeCell ref="BX27:BZ27"/>
    <mergeCell ref="BR28:BT28"/>
    <mergeCell ref="BU28:BV29"/>
    <mergeCell ref="BW28:BW29"/>
    <mergeCell ref="BL28:BN28"/>
    <mergeCell ref="BX28:BZ28"/>
    <mergeCell ref="BQ24:BQ25"/>
    <mergeCell ref="BL25:BN25"/>
    <mergeCell ref="BI24:BJ25"/>
    <mergeCell ref="BK24:BK25"/>
    <mergeCell ref="BI28:BJ29"/>
    <mergeCell ref="BK26:BK27"/>
    <mergeCell ref="BR21:BT21"/>
    <mergeCell ref="BU24:BV25"/>
    <mergeCell ref="E47:H48"/>
    <mergeCell ref="I47:J48"/>
    <mergeCell ref="AO12:AV13"/>
    <mergeCell ref="BK14:BK15"/>
    <mergeCell ref="AR14:AR21"/>
    <mergeCell ref="BF18:BH18"/>
    <mergeCell ref="BI18:BJ19"/>
    <mergeCell ref="BK18:BK19"/>
    <mergeCell ref="BF15:BH15"/>
    <mergeCell ref="AS16:AV17"/>
    <mergeCell ref="AW16:AX17"/>
    <mergeCell ref="AY16:AY17"/>
    <mergeCell ref="AS14:AV15"/>
    <mergeCell ref="AW14:AX15"/>
    <mergeCell ref="AY14:AY15"/>
    <mergeCell ref="AZ14:BB14"/>
    <mergeCell ref="BC14:BD15"/>
    <mergeCell ref="AZ15:BB15"/>
    <mergeCell ref="AZ16:BB16"/>
    <mergeCell ref="BC16:BD17"/>
    <mergeCell ref="BI16:BJ17"/>
    <mergeCell ref="BK16:BK17"/>
    <mergeCell ref="BF20:BH20"/>
    <mergeCell ref="AZ18:BB18"/>
    <mergeCell ref="BI14:BJ15"/>
    <mergeCell ref="BF21:BH21"/>
    <mergeCell ref="AY18:AY19"/>
    <mergeCell ref="AZ30:BB30"/>
    <mergeCell ref="BC30:BD31"/>
    <mergeCell ref="BE30:BE31"/>
    <mergeCell ref="BF30:BH30"/>
    <mergeCell ref="BI30:BJ31"/>
    <mergeCell ref="I49:J50"/>
    <mergeCell ref="K49:K50"/>
    <mergeCell ref="R49:T49"/>
    <mergeCell ref="U49:V50"/>
    <mergeCell ref="W49:W50"/>
    <mergeCell ref="X49:Z49"/>
    <mergeCell ref="AA49:AB50"/>
    <mergeCell ref="AC49:AC50"/>
    <mergeCell ref="L49:N49"/>
    <mergeCell ref="O49:P50"/>
    <mergeCell ref="Q49:Q50"/>
    <mergeCell ref="L50:N50"/>
    <mergeCell ref="R50:T50"/>
    <mergeCell ref="X50:Z50"/>
    <mergeCell ref="L48:N48"/>
    <mergeCell ref="R48:T48"/>
    <mergeCell ref="X48:Z48"/>
    <mergeCell ref="K47:K48"/>
    <mergeCell ref="L47:N47"/>
    <mergeCell ref="O47:P48"/>
    <mergeCell ref="Q47:Q48"/>
    <mergeCell ref="R47:T47"/>
    <mergeCell ref="U47:V48"/>
    <mergeCell ref="W47:W48"/>
    <mergeCell ref="X47:Z47"/>
    <mergeCell ref="AA47:AB48"/>
    <mergeCell ref="AC47:AC48"/>
    <mergeCell ref="B35:D44"/>
    <mergeCell ref="O37:P38"/>
    <mergeCell ref="Q37:Q38"/>
    <mergeCell ref="O43:P44"/>
    <mergeCell ref="B45:D52"/>
    <mergeCell ref="E35:H36"/>
    <mergeCell ref="I35:J36"/>
    <mergeCell ref="K35:K36"/>
    <mergeCell ref="I33:J34"/>
    <mergeCell ref="K43:K44"/>
    <mergeCell ref="L43:N43"/>
    <mergeCell ref="E43:H44"/>
    <mergeCell ref="E39:H40"/>
    <mergeCell ref="E41:H42"/>
    <mergeCell ref="I41:J42"/>
    <mergeCell ref="K41:K42"/>
    <mergeCell ref="L36:N36"/>
    <mergeCell ref="L34:N34"/>
    <mergeCell ref="B29:D34"/>
    <mergeCell ref="K33:K34"/>
    <mergeCell ref="L33:N33"/>
    <mergeCell ref="E37:H38"/>
    <mergeCell ref="I37:J38"/>
    <mergeCell ref="K37:K38"/>
    <mergeCell ref="L37:N37"/>
    <mergeCell ref="I43:J44"/>
    <mergeCell ref="L31:N31"/>
    <mergeCell ref="E29:H30"/>
    <mergeCell ref="I29:J30"/>
    <mergeCell ref="K29:K30"/>
    <mergeCell ref="L29:N29"/>
    <mergeCell ref="E49:H50"/>
    <mergeCell ref="O33:P34"/>
    <mergeCell ref="Q33:Q34"/>
    <mergeCell ref="R33:T33"/>
    <mergeCell ref="U33:V34"/>
    <mergeCell ref="W33:W34"/>
    <mergeCell ref="X33:Z33"/>
    <mergeCell ref="R36:T36"/>
    <mergeCell ref="R35:T35"/>
    <mergeCell ref="R34:T34"/>
    <mergeCell ref="L40:N40"/>
    <mergeCell ref="E45:H46"/>
    <mergeCell ref="I45:J46"/>
    <mergeCell ref="K45:K46"/>
    <mergeCell ref="L46:N46"/>
    <mergeCell ref="R46:T46"/>
    <mergeCell ref="X46:Z46"/>
    <mergeCell ref="O39:P40"/>
    <mergeCell ref="Q39:Q40"/>
    <mergeCell ref="L42:N42"/>
    <mergeCell ref="L39:N39"/>
    <mergeCell ref="L44:N44"/>
    <mergeCell ref="O41:P42"/>
    <mergeCell ref="Q41:Q42"/>
    <mergeCell ref="L41:N41"/>
    <mergeCell ref="I39:J40"/>
    <mergeCell ref="K39:K40"/>
    <mergeCell ref="M14:N14"/>
    <mergeCell ref="Y15:Z15"/>
    <mergeCell ref="L32:N32"/>
    <mergeCell ref="Q45:Q46"/>
    <mergeCell ref="A17:A34"/>
    <mergeCell ref="E31:H32"/>
    <mergeCell ref="I31:J32"/>
    <mergeCell ref="B20:D22"/>
    <mergeCell ref="K31:K32"/>
    <mergeCell ref="O14:R14"/>
    <mergeCell ref="S14:T14"/>
    <mergeCell ref="U14:X14"/>
    <mergeCell ref="Y14:Z14"/>
    <mergeCell ref="I26:N26"/>
    <mergeCell ref="O26:T26"/>
    <mergeCell ref="U26:Z26"/>
    <mergeCell ref="E25:H25"/>
    <mergeCell ref="E28:H28"/>
    <mergeCell ref="E20:H20"/>
    <mergeCell ref="I20:N20"/>
    <mergeCell ref="O20:T20"/>
    <mergeCell ref="U20:Z20"/>
    <mergeCell ref="E21:H21"/>
    <mergeCell ref="O31:P32"/>
    <mergeCell ref="Q43:Q44"/>
    <mergeCell ref="W43:W44"/>
    <mergeCell ref="L38:N38"/>
    <mergeCell ref="X38:Z38"/>
    <mergeCell ref="W39:W40"/>
    <mergeCell ref="R38:T38"/>
    <mergeCell ref="R31:T31"/>
    <mergeCell ref="U31:V32"/>
    <mergeCell ref="BL34:BN34"/>
    <mergeCell ref="BO34:BP35"/>
    <mergeCell ref="BI36:BJ37"/>
    <mergeCell ref="BI34:BJ35"/>
    <mergeCell ref="AY38:AY39"/>
    <mergeCell ref="Q31:Q32"/>
    <mergeCell ref="A12:H13"/>
    <mergeCell ref="B16:H16"/>
    <mergeCell ref="I16:L16"/>
    <mergeCell ref="M16:N16"/>
    <mergeCell ref="O16:R16"/>
    <mergeCell ref="S16:T16"/>
    <mergeCell ref="U16:X16"/>
    <mergeCell ref="Y16:Z16"/>
    <mergeCell ref="B15:H15"/>
    <mergeCell ref="I15:L15"/>
    <mergeCell ref="M15:N15"/>
    <mergeCell ref="O15:R15"/>
    <mergeCell ref="S15:T15"/>
    <mergeCell ref="U15:X15"/>
    <mergeCell ref="O12:T13"/>
    <mergeCell ref="U12:Z13"/>
    <mergeCell ref="I12:N13"/>
    <mergeCell ref="O29:P30"/>
    <mergeCell ref="Q29:Q30"/>
    <mergeCell ref="R29:T29"/>
    <mergeCell ref="L30:N30"/>
    <mergeCell ref="R30:T30"/>
    <mergeCell ref="E33:H34"/>
    <mergeCell ref="A14:A16"/>
    <mergeCell ref="B14:H14"/>
    <mergeCell ref="I14:L14"/>
    <mergeCell ref="AW54:AX55"/>
    <mergeCell ref="AY54:AY55"/>
    <mergeCell ref="AZ54:BB54"/>
    <mergeCell ref="BR53:BT53"/>
    <mergeCell ref="BX53:BZ53"/>
    <mergeCell ref="BC32:BD33"/>
    <mergeCell ref="BE32:BE33"/>
    <mergeCell ref="BF32:BH32"/>
    <mergeCell ref="BI32:BJ33"/>
    <mergeCell ref="BK32:BK33"/>
    <mergeCell ref="BL32:BN32"/>
    <mergeCell ref="BO32:BP33"/>
    <mergeCell ref="BQ32:BQ33"/>
    <mergeCell ref="BR32:BT32"/>
    <mergeCell ref="BU32:BV33"/>
    <mergeCell ref="BW32:BW33"/>
    <mergeCell ref="BX32:BZ32"/>
    <mergeCell ref="BF33:BH33"/>
    <mergeCell ref="BL33:BN33"/>
    <mergeCell ref="AY34:AY35"/>
    <mergeCell ref="BW40:BW41"/>
    <mergeCell ref="BX40:BZ40"/>
    <mergeCell ref="BL44:BN44"/>
    <mergeCell ref="AZ45:BB45"/>
    <mergeCell ref="BL41:BN41"/>
    <mergeCell ref="BR41:BT41"/>
    <mergeCell ref="BX51:BZ51"/>
    <mergeCell ref="AY50:AY51"/>
    <mergeCell ref="AZ50:BB50"/>
    <mergeCell ref="BC50:BD51"/>
    <mergeCell ref="BE50:BE51"/>
    <mergeCell ref="BF50:BH50"/>
    <mergeCell ref="BU52:BV53"/>
    <mergeCell ref="BW52:BW53"/>
    <mergeCell ref="BX52:BZ52"/>
    <mergeCell ref="AZ53:BB53"/>
    <mergeCell ref="BF53:BH53"/>
    <mergeCell ref="BL53:BN53"/>
    <mergeCell ref="BU54:BV55"/>
    <mergeCell ref="BW54:BW55"/>
    <mergeCell ref="BX54:BZ54"/>
    <mergeCell ref="AZ55:BB55"/>
    <mergeCell ref="BF55:BH55"/>
    <mergeCell ref="BL55:BN55"/>
    <mergeCell ref="BR55:BT55"/>
    <mergeCell ref="BX55:BZ55"/>
    <mergeCell ref="BI50:BJ51"/>
    <mergeCell ref="BK50:BK51"/>
    <mergeCell ref="BL50:BN50"/>
    <mergeCell ref="BO50:BP51"/>
    <mergeCell ref="BQ50:BQ51"/>
    <mergeCell ref="BR50:BT50"/>
    <mergeCell ref="BX50:BZ50"/>
    <mergeCell ref="BL54:BN54"/>
    <mergeCell ref="AS30:AV31"/>
    <mergeCell ref="AW30:AX31"/>
    <mergeCell ref="AY30:AY31"/>
    <mergeCell ref="AC43:AC44"/>
    <mergeCell ref="X42:Z42"/>
    <mergeCell ref="AZ38:BB38"/>
    <mergeCell ref="BQ54:BQ55"/>
    <mergeCell ref="BR54:BT54"/>
    <mergeCell ref="AW52:AX53"/>
    <mergeCell ref="AY52:AY53"/>
    <mergeCell ref="AZ52:BB52"/>
    <mergeCell ref="BC52:BD53"/>
    <mergeCell ref="BE52:BE53"/>
    <mergeCell ref="BF52:BH52"/>
    <mergeCell ref="BI52:BJ53"/>
    <mergeCell ref="BK52:BK53"/>
    <mergeCell ref="BL52:BN52"/>
    <mergeCell ref="BO52:BP53"/>
    <mergeCell ref="BQ52:BQ53"/>
    <mergeCell ref="BR52:BT52"/>
    <mergeCell ref="AY44:AY45"/>
    <mergeCell ref="AW40:AX41"/>
    <mergeCell ref="AY40:AY41"/>
    <mergeCell ref="AP54:AR61"/>
    <mergeCell ref="BR40:BT40"/>
    <mergeCell ref="BR51:BT51"/>
    <mergeCell ref="AY58:AY59"/>
    <mergeCell ref="AZ49:BB49"/>
    <mergeCell ref="BF49:BH49"/>
    <mergeCell ref="BL49:BN49"/>
    <mergeCell ref="BL48:BN48"/>
    <mergeCell ref="AY42:AY43"/>
    <mergeCell ref="BO54:BP55"/>
    <mergeCell ref="AZ40:BB40"/>
    <mergeCell ref="BQ40:BQ41"/>
    <mergeCell ref="AZ51:BB51"/>
    <mergeCell ref="BI42:BJ43"/>
    <mergeCell ref="BK42:BK43"/>
    <mergeCell ref="BL42:BN42"/>
    <mergeCell ref="BO42:BP43"/>
    <mergeCell ref="BL45:BN45"/>
    <mergeCell ref="BO44:BP45"/>
    <mergeCell ref="BO48:BP49"/>
    <mergeCell ref="BQ48:BQ49"/>
    <mergeCell ref="BL47:BN47"/>
    <mergeCell ref="AO1:BZ1"/>
    <mergeCell ref="Y5:AL5"/>
    <mergeCell ref="AR24:AR33"/>
    <mergeCell ref="X41:Z41"/>
    <mergeCell ref="AO10:AV11"/>
    <mergeCell ref="AW10:BB11"/>
    <mergeCell ref="AJ41:AL41"/>
    <mergeCell ref="AJ43:AL43"/>
    <mergeCell ref="AJ40:AL40"/>
    <mergeCell ref="AZ33:BB33"/>
    <mergeCell ref="AG37:AH38"/>
    <mergeCell ref="AI37:AI38"/>
    <mergeCell ref="AY32:AY33"/>
    <mergeCell ref="AZ32:BB32"/>
    <mergeCell ref="AA14:AD14"/>
    <mergeCell ref="AA16:AD16"/>
    <mergeCell ref="AJ37:AL37"/>
    <mergeCell ref="AG41:AH42"/>
    <mergeCell ref="AC45:AC46"/>
    <mergeCell ref="BU58:BV59"/>
    <mergeCell ref="BW58:BW59"/>
    <mergeCell ref="BX58:BZ58"/>
    <mergeCell ref="BF59:BH59"/>
    <mergeCell ref="BL59:BN59"/>
    <mergeCell ref="BR59:BT59"/>
    <mergeCell ref="BX59:BZ59"/>
    <mergeCell ref="BL58:BN58"/>
    <mergeCell ref="BO58:BP59"/>
    <mergeCell ref="BQ56:BQ57"/>
    <mergeCell ref="BQ58:BQ59"/>
    <mergeCell ref="BO56:BP57"/>
    <mergeCell ref="AZ57:BB57"/>
    <mergeCell ref="BF57:BH57"/>
    <mergeCell ref="BL57:BN57"/>
    <mergeCell ref="AZ56:BB56"/>
    <mergeCell ref="BC56:BD57"/>
    <mergeCell ref="BE56:BE57"/>
    <mergeCell ref="BF56:BH56"/>
    <mergeCell ref="BI56:BJ57"/>
    <mergeCell ref="BK56:BK57"/>
    <mergeCell ref="BL56:BN56"/>
    <mergeCell ref="AZ58:BB58"/>
    <mergeCell ref="BC58:BD59"/>
    <mergeCell ref="BE58:BE59"/>
    <mergeCell ref="BR56:BT56"/>
    <mergeCell ref="BU56:BV57"/>
    <mergeCell ref="BW56:BW57"/>
    <mergeCell ref="BX56:BZ56"/>
    <mergeCell ref="BR57:BT57"/>
    <mergeCell ref="BX57:BZ57"/>
    <mergeCell ref="BF58:BH58"/>
    <mergeCell ref="BI58:BJ59"/>
    <mergeCell ref="BK58:BK59"/>
    <mergeCell ref="AW60:AX61"/>
    <mergeCell ref="AY60:AY61"/>
    <mergeCell ref="AW56:AX57"/>
    <mergeCell ref="AY56:AY57"/>
    <mergeCell ref="AS56:AV57"/>
    <mergeCell ref="AS58:AV59"/>
    <mergeCell ref="AS60:AV61"/>
    <mergeCell ref="AZ61:BB61"/>
    <mergeCell ref="AZ60:BB60"/>
    <mergeCell ref="BC60:BD61"/>
    <mergeCell ref="BE60:BE61"/>
    <mergeCell ref="AZ59:BB59"/>
    <mergeCell ref="BQ60:BQ61"/>
    <mergeCell ref="BR60:BT60"/>
    <mergeCell ref="BR58:BT58"/>
    <mergeCell ref="BK60:BK61"/>
    <mergeCell ref="BU60:BV61"/>
    <mergeCell ref="BW60:BW61"/>
    <mergeCell ref="BX60:BZ60"/>
    <mergeCell ref="BF61:BH61"/>
    <mergeCell ref="BL61:BN61"/>
    <mergeCell ref="BR61:BT61"/>
    <mergeCell ref="BX61:BZ61"/>
    <mergeCell ref="BL60:BN60"/>
    <mergeCell ref="BO60:BP61"/>
    <mergeCell ref="BF60:BH60"/>
    <mergeCell ref="BI60:BJ61"/>
    <mergeCell ref="AE14:AF14"/>
    <mergeCell ref="AG14:AJ14"/>
    <mergeCell ref="AK14:AL14"/>
    <mergeCell ref="AD36:AF36"/>
    <mergeCell ref="AJ36:AL36"/>
    <mergeCell ref="AG35:AH36"/>
    <mergeCell ref="AD35:AF35"/>
    <mergeCell ref="AW58:AX59"/>
    <mergeCell ref="AW34:AX35"/>
    <mergeCell ref="AW38:AX39"/>
    <mergeCell ref="AD40:AF40"/>
    <mergeCell ref="AJ44:AL44"/>
    <mergeCell ref="AJ46:AL46"/>
    <mergeCell ref="AW44:AX45"/>
    <mergeCell ref="AJ35:AL35"/>
    <mergeCell ref="AS50:AV51"/>
    <mergeCell ref="AG49:AH50"/>
    <mergeCell ref="AI49:AI50"/>
    <mergeCell ref="AD50:AF50"/>
    <mergeCell ref="AA26:AF26"/>
    <mergeCell ref="AS52:AV53"/>
    <mergeCell ref="AS32:AV33"/>
    <mergeCell ref="AA29:AB30"/>
    <mergeCell ref="AC29:AC30"/>
    <mergeCell ref="AD29:AF29"/>
    <mergeCell ref="AG29:AH30"/>
    <mergeCell ref="AS46:AV47"/>
    <mergeCell ref="AI41:AI42"/>
    <mergeCell ref="AA41:AB42"/>
    <mergeCell ref="AC41:AC42"/>
    <mergeCell ref="X43:Z43"/>
    <mergeCell ref="U29:V30"/>
    <mergeCell ref="X30:Z30"/>
    <mergeCell ref="AG31:AH32"/>
    <mergeCell ref="AD42:AF42"/>
    <mergeCell ref="AJ42:AL42"/>
    <mergeCell ref="AJ39:AL39"/>
    <mergeCell ref="AS40:AV41"/>
    <mergeCell ref="AD39:AF39"/>
    <mergeCell ref="AD43:AF43"/>
    <mergeCell ref="AS34:AV35"/>
    <mergeCell ref="AS36:AV37"/>
    <mergeCell ref="AA33:AB34"/>
    <mergeCell ref="AC33:AC34"/>
    <mergeCell ref="AD33:AF33"/>
    <mergeCell ref="U39:V40"/>
    <mergeCell ref="X39:Z39"/>
    <mergeCell ref="X36:Z36"/>
    <mergeCell ref="U35:V36"/>
    <mergeCell ref="W35:W36"/>
    <mergeCell ref="X35:Z35"/>
    <mergeCell ref="X34:Z34"/>
    <mergeCell ref="AC35:AC36"/>
    <mergeCell ref="AY48:AY49"/>
    <mergeCell ref="AZ48:BB48"/>
    <mergeCell ref="BC48:BD49"/>
    <mergeCell ref="BE48:BE49"/>
    <mergeCell ref="BF40:BH40"/>
    <mergeCell ref="AZ41:BB41"/>
    <mergeCell ref="BF41:BH41"/>
    <mergeCell ref="BC54:BD55"/>
    <mergeCell ref="BE54:BE55"/>
    <mergeCell ref="BF54:BH54"/>
    <mergeCell ref="BI54:BJ55"/>
    <mergeCell ref="BK54:BK55"/>
    <mergeCell ref="AD41:AF41"/>
    <mergeCell ref="R40:T40"/>
    <mergeCell ref="R41:T41"/>
    <mergeCell ref="R44:T44"/>
    <mergeCell ref="X44:Z44"/>
    <mergeCell ref="R43:T43"/>
    <mergeCell ref="AG43:AH44"/>
    <mergeCell ref="AI43:AI44"/>
    <mergeCell ref="AJ49:AL49"/>
    <mergeCell ref="AJ50:AL50"/>
    <mergeCell ref="AI45:AI46"/>
    <mergeCell ref="AD47:AF47"/>
    <mergeCell ref="AG47:AH48"/>
    <mergeCell ref="AI47:AI48"/>
    <mergeCell ref="AD46:AF46"/>
    <mergeCell ref="AA45:AB46"/>
    <mergeCell ref="AD49:AF49"/>
    <mergeCell ref="AJ48:AL48"/>
    <mergeCell ref="X40:Z40"/>
    <mergeCell ref="AA43:AB44"/>
    <mergeCell ref="AG26:AL26"/>
    <mergeCell ref="AA27:AD27"/>
    <mergeCell ref="AE27:AF27"/>
    <mergeCell ref="AA37:AB38"/>
    <mergeCell ref="AC37:AC38"/>
    <mergeCell ref="AA39:AB40"/>
    <mergeCell ref="AC39:AC40"/>
    <mergeCell ref="AA31:AB32"/>
    <mergeCell ref="R37:T37"/>
    <mergeCell ref="AK27:AL27"/>
    <mergeCell ref="AG28:AI28"/>
    <mergeCell ref="R32:T32"/>
    <mergeCell ref="X32:Z32"/>
    <mergeCell ref="U37:V38"/>
    <mergeCell ref="W37:W38"/>
    <mergeCell ref="W41:W42"/>
    <mergeCell ref="X37:Z37"/>
    <mergeCell ref="U41:V42"/>
    <mergeCell ref="AA35:AB36"/>
    <mergeCell ref="W31:W32"/>
    <mergeCell ref="X31:Z31"/>
    <mergeCell ref="AD45:AF45"/>
    <mergeCell ref="AG45:AH46"/>
    <mergeCell ref="L45:N45"/>
    <mergeCell ref="O45:P46"/>
    <mergeCell ref="AD44:AF44"/>
    <mergeCell ref="R45:T45"/>
    <mergeCell ref="U45:V46"/>
    <mergeCell ref="W45:W46"/>
    <mergeCell ref="X45:Z45"/>
    <mergeCell ref="L35:N35"/>
    <mergeCell ref="O35:P36"/>
    <mergeCell ref="Q35:Q36"/>
    <mergeCell ref="U43:V44"/>
    <mergeCell ref="R42:T42"/>
    <mergeCell ref="R39:T39"/>
    <mergeCell ref="BO46:BP47"/>
    <mergeCell ref="BQ46:BQ47"/>
    <mergeCell ref="AZ47:BB47"/>
    <mergeCell ref="BF47:BH47"/>
    <mergeCell ref="AZ39:BB39"/>
    <mergeCell ref="BF39:BH39"/>
    <mergeCell ref="AS42:AV43"/>
    <mergeCell ref="AW42:AX43"/>
    <mergeCell ref="AY46:AY47"/>
    <mergeCell ref="BC40:BD41"/>
    <mergeCell ref="BE40:BE41"/>
    <mergeCell ref="AS38:AV39"/>
    <mergeCell ref="BC38:BD39"/>
    <mergeCell ref="BE38:BE39"/>
    <mergeCell ref="BF38:BH38"/>
    <mergeCell ref="AZ37:BB37"/>
    <mergeCell ref="BF37:BH37"/>
    <mergeCell ref="AW46:AX47"/>
    <mergeCell ref="BI46:BJ47"/>
    <mergeCell ref="BK46:BK47"/>
    <mergeCell ref="BL46:BN46"/>
    <mergeCell ref="CI10:CI11"/>
    <mergeCell ref="CE12:CE13"/>
    <mergeCell ref="CF12:CF13"/>
    <mergeCell ref="CG12:CG13"/>
    <mergeCell ref="CH12:CH13"/>
    <mergeCell ref="CI12:CI13"/>
    <mergeCell ref="AZ43:BB43"/>
    <mergeCell ref="BF43:BH43"/>
    <mergeCell ref="BL43:BN43"/>
    <mergeCell ref="BQ42:BQ43"/>
    <mergeCell ref="AZ46:BB46"/>
    <mergeCell ref="BC46:BD47"/>
    <mergeCell ref="BE46:BE47"/>
    <mergeCell ref="BF46:BH46"/>
    <mergeCell ref="AZ42:BB42"/>
    <mergeCell ref="BC42:BD43"/>
    <mergeCell ref="BE42:BE43"/>
    <mergeCell ref="BF42:BH42"/>
    <mergeCell ref="CF10:CF11"/>
    <mergeCell ref="CG10:CG11"/>
    <mergeCell ref="CH10:CH11"/>
    <mergeCell ref="BR47:BT47"/>
    <mergeCell ref="AY20:AY21"/>
    <mergeCell ref="BX47:BZ47"/>
    <mergeCell ref="BX46:BZ46"/>
    <mergeCell ref="AW32:AX33"/>
    <mergeCell ref="BR33:BT33"/>
    <mergeCell ref="BK36:BK37"/>
    <mergeCell ref="BR45:BT45"/>
    <mergeCell ref="BX45:BZ45"/>
    <mergeCell ref="BW14:BW15"/>
    <mergeCell ref="BX14:BZ14"/>
    <mergeCell ref="BU18:BV19"/>
    <mergeCell ref="BW18:BW19"/>
    <mergeCell ref="BX18:BZ18"/>
    <mergeCell ref="BX20:BZ20"/>
    <mergeCell ref="BW20:BW21"/>
    <mergeCell ref="BU48:BV49"/>
    <mergeCell ref="BW48:BW49"/>
    <mergeCell ref="BX48:BZ48"/>
    <mergeCell ref="BW42:BW43"/>
    <mergeCell ref="BX42:BZ42"/>
    <mergeCell ref="BR43:BT43"/>
    <mergeCell ref="BX43:BZ43"/>
    <mergeCell ref="BR42:BT42"/>
    <mergeCell ref="BU42:BV43"/>
    <mergeCell ref="BR48:BT48"/>
    <mergeCell ref="BX33:BZ33"/>
    <mergeCell ref="BX17:BZ17"/>
    <mergeCell ref="BR44:BT44"/>
    <mergeCell ref="BU14:BV15"/>
    <mergeCell ref="BU22:BV23"/>
    <mergeCell ref="BR25:BT25"/>
    <mergeCell ref="BR22:BT22"/>
    <mergeCell ref="BR46:BT46"/>
    <mergeCell ref="BU46:BV47"/>
    <mergeCell ref="BW46:BW47"/>
    <mergeCell ref="BX35:BZ35"/>
    <mergeCell ref="BW24:BW25"/>
    <mergeCell ref="BX24:BZ24"/>
    <mergeCell ref="BO10:BT11"/>
    <mergeCell ref="BU10:BZ11"/>
    <mergeCell ref="BO12:BT13"/>
    <mergeCell ref="BX15:BZ15"/>
    <mergeCell ref="BO16:BP17"/>
    <mergeCell ref="BQ16:BQ17"/>
    <mergeCell ref="BF48:BH48"/>
    <mergeCell ref="BI48:BJ49"/>
    <mergeCell ref="BK48:BK49"/>
    <mergeCell ref="BQ44:BQ45"/>
    <mergeCell ref="BR49:BT49"/>
    <mergeCell ref="BX49:BZ49"/>
    <mergeCell ref="CE10:CE11"/>
    <mergeCell ref="BF45:BH45"/>
    <mergeCell ref="BI38:BJ39"/>
    <mergeCell ref="AZ34:BB34"/>
    <mergeCell ref="BC10:BH11"/>
    <mergeCell ref="BI10:BN11"/>
    <mergeCell ref="BC12:BH13"/>
    <mergeCell ref="BI12:BN13"/>
    <mergeCell ref="AW12:BB13"/>
    <mergeCell ref="BC18:BD19"/>
    <mergeCell ref="BE18:BE19"/>
    <mergeCell ref="BL16:BN16"/>
    <mergeCell ref="BR16:BT16"/>
    <mergeCell ref="BU16:BV17"/>
    <mergeCell ref="BW16:BW17"/>
    <mergeCell ref="BX16:BZ16"/>
    <mergeCell ref="AW36:AX37"/>
    <mergeCell ref="AY36:AY37"/>
    <mergeCell ref="BL17:BN17"/>
    <mergeCell ref="BR17:BT17"/>
  </mergeCells>
  <phoneticPr fontId="1"/>
  <conditionalFormatting sqref="I35:J36 O35:P36 U35:V36 AA35:AB36 AG35:AH36 I41:J44 O41:P44 U41:V44 AA41:AB44 AG41:AH44">
    <cfRule type="cellIs" dxfId="102" priority="4" operator="between">
      <formula>1</formula>
      <formula>9</formula>
    </cfRule>
    <cfRule type="cellIs" dxfId="101" priority="5" operator="between">
      <formula>0</formula>
      <formula>0</formula>
    </cfRule>
  </conditionalFormatting>
  <conditionalFormatting sqref="O14:R16 U14:X16 AA14:AD16 AG14:AJ16">
    <cfRule type="expression" dxfId="100" priority="1">
      <formula>IF(O$10="",1,"")=1</formula>
    </cfRule>
  </conditionalFormatting>
  <conditionalFormatting sqref="O16:R16 U16:X16 AA16:AD16 AG16:AJ16">
    <cfRule type="expression" dxfId="99" priority="2">
      <formula>IF(O$10="最終日",1,"")=1</formula>
    </cfRule>
  </conditionalFormatting>
  <dataValidations count="11">
    <dataValidation imeMode="off" allowBlank="1" showInputMessage="1" showErrorMessage="1" sqref="BO60 AW56 BC56 BI56 AA24 BU28 BU30 BU32 AW60 BI58 BC50 BC60 BC40 BI40 BI60 BO40 AW34 BN5 AW36 I10:AL11 AW38 AW40 BU40 I14:I16 O14:O16 U14:U16 AA14:AA16 AG12 O33 U33 I12 AA33 AW12 BU54 AW54 BC54 BI54 BO54 BC34 BU60 BC36 BC38 BI34 BI36 BI38 BO34 BO36 BO38 BU34 BU36 BU38 AW44 BC44 BO56 BU58 AW58 BC58 BU56 BI44 BO44 BU44 BI50 BO50 O39 AA43 U39 O37 O12 BI12 BO12 BU12 U37 AG33 I24 O24 U24 AG21 BO58 AW14 AW16 AW18 AW20 AW22 BC14 BC16 BC18 BC20 BC22 BI14 BI16 BI18 BI20 BI22 BO14 BO16 BO18 BO20 BO22 BU14 BU16 BU18 BU20 BU22 BU50 AW50 AW24 AW26 AW28 AW30 AW32 BC24 BC26 BC28 BC30 BC32 BI24 BI26 BI28 BI30 BI32 BO24 BO26 BO28 BO30 BO32 BU24 BU26 I37 U47 AA47 I47 O47 I45 AG47 O45 U45 AA45 AG45 I49 O49 U49 AA49 AG49 AA37 I43 I39 AG39 O41 I41 U41 AG37 AA39 AA41 AG43 AG41 O43 U43 BI52 BO52 AW52 BU52 BC52 AG35 O35 U35 I35 U29 O29 AG29 AA29 AG24 AA35 I33 BC12 U12 AA12 AG14:AG15 I51 O51 U51 AA51 AG51 CE12:CI12 O18 U18 AA18 I18 AA21 I21 O21 U21 AG18 I31 U31 O31 AG31 AA31 BC42 BI42 BO42 AW42 BU42 BC46 BI46 BO46 BU46 AW46 BI48 BO48 AW48 BU48 BC48 AA27 AG27 O27 U27 I27 I29 I19:K19 O19:Q19 U19:W19 AA19:AC19 AG19:AI19 AG22:AI22 AA22:AC22 U22:W22 O22:Q22 I22:K22" xr:uid="{A440C62B-0232-4D83-8FE4-AD382A49DA93}"/>
    <dataValidation type="list" allowBlank="1" showInputMessage="1" showErrorMessage="1" sqref="BR57 AZ57 BF57 BL57 BX57 BR51 AZ51 BF51 BL51 BX51 BR47 AZ47 BF47 BL47 BX47" xr:uid="{50F0EF8A-1780-4577-BBA5-916D6FC9D538}">
      <formula1>"8:00,13:00,16:00"</formula1>
    </dataValidation>
    <dataValidation type="list" allowBlank="1" showInputMessage="1" showErrorMessage="1" sqref="L46:N46 R46:T46 X46:Z46 AD46:AF46 AJ46:AL46 L48:N48 R48:T48 X48:Z48 AD48:AF48 AJ48:AL48 AD50:AF50 X50:Z50 R50:T50 L50:N50 AJ50:AL50 X44:Z44 R36:T36 X36:Z36 AD36:AF36 AJ36:AL36 R38:T38 X38:Z38 AD38:AF38 AJ38:AL38 L38:N38 X40:Z40 AD40:AF40 AJ40:AL40 L40:N40 R40:T40 AD42:AF42 AJ42:AL42 L42:N42 R42:T42 X42:Z42 AD44:AF44 AJ44:AL44 L44:N44 R44:T44 L36:N36 AD52:AF52 X52:Z52 R52:T52 L52:N52 AJ52:AL52" xr:uid="{E1613ECB-809D-436A-AD9A-7138E6CCF561}">
      <formula1>"9:00,9:30,10:00,10:30,11:00,11:30,12:00,12:30,13:00,13:30,14:00,14:30,15:00,15:30,16:00,16:30,17:00,17:30,18:00,18:30,19:00,19:30,20:00,20:30,21:00"</formula1>
    </dataValidation>
    <dataValidation type="list" allowBlank="1" showInputMessage="1" showErrorMessage="1" sqref="BX61:BZ61 BR61:BT61 BL61:BN61 BF61:BH61 AZ61:BB61 BX55:BZ55 BR55:BT55 BL55:BN55 BF55:BH55 AZ55:BB55 BX59:BZ59 BR59:BT59 BL59:BN59 BF59:BH59 AZ59:BB59 AZ15:BB15 AZ17:BB17 AZ19:BB19 AZ21:BB21 AZ23:BB23 BF15:BH15 BF17:BH17 BF19:BH19 BF21:BH21 BF23:BH23 BL15:BN15 BL17:BN17 BL19:BN19 BL21:BN21 BL23:BN23 BR15:BT15 BR17:BT17 BR19:BT19 BR21:BT21 BR23:BT23 BX15:BZ15 BX17:BZ17 BX19:BZ19 BX21:BZ21 BX23:BZ23 BR33:BT33 BL33:BN33 BF33:BH33 AZ33:BB33 AZ31:BB31 BF25:BH25 BF27:BH27 BF29:BH29 BF31:BH31 BL25:BN25 BL27:BN27 BL29:BN29 BL31:BN31 BR25:BT25 BR27:BT27 BR29:BT29 BR31:BT31 BX25:BZ25 BX27:BZ27 BX29:BZ29 AZ35:BB35 AZ37:BB37 AZ39:BB39 BF35:BH35 BF37:BH37 BF39:BH39 BL35:BN35 BL37:BN37 BL39:BN39 BR35:BT35 BR37:BT37 BR39:BT39 BX35:BZ35 BX37:BZ37 BX39:BZ39 BX31:BZ31 AZ25:BB25 AZ27:BB27 AZ29:BB29 BX33:BZ33 BR53:BT53 BL53:BN53 BF53:BH53 AZ53:BB53 BX53:BZ53 BL41:BN41 BF41:BH41 AZ41:BB41 BX41:BZ41 BR41:BT41 BL43:BN43 BF43:BH43 AZ43:BB43 BX43:BZ43 BR43:BT43 BL45:BN45 BR45:BT45 BX45:BZ45 AZ45:BB45 BF45:BH45 BR49:BT49 BL49:BN49 BF49:BH49 AZ49:BB49 BX49:BZ49" xr:uid="{FBD72284-7703-49A3-BC24-70E54869A8D0}">
      <formula1>"7:00,7:30,8:00,8:30,9:00,9:30,10:00,10:30,11:00,11:30,12:00,12:30,13:00,13:30,14:00,14:30,15:00,15:30,16:00,16:30,17:00,17:30,18:00,18:30,19:00,19:30,20:00,20:30,21:00"</formula1>
    </dataValidation>
    <dataValidation type="list" allowBlank="1" showInputMessage="1" showErrorMessage="1" sqref="I26:AL26" xr:uid="{C6DE8973-D2B8-4DA4-81A1-D674AAC99067}">
      <formula1>"9:30,9:45,10:00,10:15,10:30,13:30,13:45,14:00,14:15,14:30,14:45,15:00,15:15,15:30"</formula1>
    </dataValidation>
    <dataValidation type="list" allowBlank="1" showInputMessage="1" showErrorMessage="1" sqref="I17:AL17 L34:N34 R34:T34 AJ34:AL34 AD34:AF34 X34:Z34 R30:T30 X30:Z30 AD30:AF30 AJ30:AL30 L30:N30 R32:T32 X32:Z32 AD32:AF32 AJ32:AL32 L32:N32" xr:uid="{77BADE2D-017B-467C-8E94-8522FA23D90E}">
      <formula1>"9:30,9:45,10:00,10:15,10:30,10:45,11:00,11:15,11:30,13:30,13:45,14:00,14:15,14:30,14:45,15:00,15:15,15:30"</formula1>
    </dataValidation>
    <dataValidation type="list" allowBlank="1" showInputMessage="1" showErrorMessage="1" sqref="E37:H38" xr:uid="{754062FB-9770-49A8-A22C-6EB3696D4741}">
      <formula1>"からあげ弁当,大盛りからあげ弁当"</formula1>
    </dataValidation>
    <dataValidation type="list" allowBlank="1" showInputMessage="1" showErrorMessage="1" sqref="E39:H40" xr:uid="{6B26F09A-AF78-42CA-9F8B-F1C87420264D}">
      <formula1>"のり弁当,大盛のり弁当"</formula1>
    </dataValidation>
    <dataValidation type="list" allowBlank="1" showInputMessage="1" showErrorMessage="1" sqref="E35:H36" xr:uid="{2D7CD56D-1A0E-451C-81C2-C3FCF387F94D}">
      <formula1>"げんき弁当,大盛げんき弁当"</formula1>
    </dataValidation>
    <dataValidation type="list" allowBlank="1" showInputMessage="1" showErrorMessage="1" sqref="I23:AL23 I20:AL20" xr:uid="{AD98ECB1-D9A7-4C9F-9D17-AA3F366798FC}">
      <formula1>"9:30,9:45,10:00,10:15,10:30,10:45,11:00,11:15,11:30,13:30,13:45,14:00"</formula1>
    </dataValidation>
    <dataValidation type="list" imeMode="off" allowBlank="1" showInputMessage="1" showErrorMessage="1" sqref="AG28:AI28 AA28:AC28 U28:W28 O28:Q28 I28:K28 I25:K25 O25:Q25 U25:W25 AA25:AC25 AG25:AI25" xr:uid="{4D8DC214-09AA-469D-A1F1-44651AD35801}">
      <formula1>"談話室,屋外炊事場"</formula1>
    </dataValidation>
  </dataValidations>
  <hyperlinks>
    <hyperlink ref="Y7" r:id="rId1" xr:uid="{223F81E6-3263-4C87-A12D-5795F132AD67}"/>
  </hyperlinks>
  <printOptions horizontalCentered="1" verticalCentered="1"/>
  <pageMargins left="0.78740157480314965" right="0" top="0.39370078740157483" bottom="0" header="0" footer="0"/>
  <pageSetup paperSize="9" scale="59" fitToWidth="2" orientation="portrait" r:id="rId2"/>
  <colBreaks count="1" manualBreakCount="1">
    <brk id="39"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36</xdr:col>
                    <xdr:colOff>142875</xdr:colOff>
                    <xdr:row>2</xdr:row>
                    <xdr:rowOff>28575</xdr:rowOff>
                  </from>
                  <to>
                    <xdr:col>37</xdr:col>
                    <xdr:colOff>180975</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DC115"/>
  <sheetViews>
    <sheetView showGridLines="0" showZeros="0" zoomScale="70" zoomScaleNormal="70" workbookViewId="0">
      <selection activeCell="AC24" sqref="AC24:AD24"/>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4" width="9" style="4" customWidth="1"/>
    <col min="85" max="85" width="7.625" style="4" customWidth="1"/>
    <col min="86" max="93" width="9" style="4" customWidth="1"/>
    <col min="94" max="95" width="11.25" style="4" customWidth="1"/>
    <col min="96" max="107" width="9" style="4" customWidth="1"/>
    <col min="108" max="16384" width="9" style="4"/>
  </cols>
  <sheetData>
    <row r="1" spans="1:107" ht="38.25" customHeight="1">
      <c r="A1" s="872" t="s">
        <v>163</v>
      </c>
      <c r="B1" s="872"/>
      <c r="C1" s="872"/>
      <c r="D1" s="872"/>
      <c r="E1" s="872"/>
      <c r="F1" s="872"/>
      <c r="G1" s="872"/>
      <c r="H1" s="327"/>
      <c r="I1" s="832"/>
      <c r="J1" s="832"/>
      <c r="K1" s="832"/>
      <c r="L1" s="832"/>
      <c r="M1" s="832"/>
      <c r="N1" s="832"/>
      <c r="O1" s="832"/>
      <c r="P1" s="832"/>
      <c r="Q1" s="832"/>
      <c r="R1" s="832"/>
      <c r="S1" s="832"/>
      <c r="T1" s="832"/>
      <c r="U1" s="832"/>
      <c r="V1" s="832"/>
      <c r="W1" s="832"/>
      <c r="X1" s="832"/>
      <c r="Y1" s="832"/>
      <c r="Z1" s="832"/>
      <c r="AA1" s="832"/>
      <c r="AB1" s="832"/>
      <c r="AC1" s="832"/>
      <c r="AD1" s="832"/>
      <c r="AE1" s="832"/>
      <c r="AF1" s="832"/>
      <c r="AG1" s="832"/>
      <c r="AH1" s="832"/>
      <c r="AI1" s="832"/>
      <c r="AJ1" s="832"/>
      <c r="AK1" s="832"/>
      <c r="AL1" s="832"/>
      <c r="AM1" s="832"/>
      <c r="AN1" s="832"/>
      <c r="AO1" s="832"/>
      <c r="AP1" s="832"/>
    </row>
    <row r="2" spans="1:107" ht="39.75" customHeight="1">
      <c r="A2" s="872"/>
      <c r="B2" s="872"/>
      <c r="C2" s="872"/>
      <c r="D2" s="872"/>
      <c r="E2" s="872"/>
      <c r="F2" s="872"/>
      <c r="G2" s="872"/>
      <c r="H2" s="220"/>
      <c r="I2" s="831" t="s">
        <v>311</v>
      </c>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832"/>
      <c r="AL2" s="832"/>
      <c r="AM2" s="832"/>
      <c r="AN2" s="832"/>
      <c r="AO2" s="832"/>
      <c r="AP2" s="832"/>
    </row>
    <row r="3" spans="1:107" s="5" customFormat="1" ht="46.5" customHeight="1">
      <c r="A3" s="877" t="s">
        <v>321</v>
      </c>
      <c r="B3" s="877"/>
      <c r="C3" s="877"/>
      <c r="D3" s="877"/>
      <c r="E3" s="877"/>
      <c r="F3" s="877"/>
      <c r="G3" s="878"/>
      <c r="H3" s="219"/>
      <c r="I3" s="831" t="s">
        <v>310</v>
      </c>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832"/>
      <c r="AJ3" s="832"/>
      <c r="AK3" s="832"/>
      <c r="AL3" s="832"/>
      <c r="AM3" s="832"/>
      <c r="AN3" s="832"/>
      <c r="AO3" s="832"/>
      <c r="AP3" s="832"/>
    </row>
    <row r="4" spans="1:107" s="5" customFormat="1" ht="46.5" customHeight="1" thickBot="1">
      <c r="A4" s="877"/>
      <c r="B4" s="877"/>
      <c r="C4" s="877"/>
      <c r="D4" s="877"/>
      <c r="E4" s="877"/>
      <c r="F4" s="877"/>
      <c r="G4" s="878"/>
      <c r="H4" s="328"/>
      <c r="I4" s="831" t="s">
        <v>338</v>
      </c>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row>
    <row r="5" spans="1:107" s="3" customFormat="1" ht="31.5" customHeight="1" thickBot="1">
      <c r="A5" s="835" t="s">
        <v>58</v>
      </c>
      <c r="B5" s="836"/>
      <c r="C5" s="836"/>
      <c r="D5" s="836"/>
      <c r="E5" s="836"/>
      <c r="F5" s="836"/>
      <c r="G5" s="836"/>
      <c r="H5" s="836"/>
      <c r="I5" s="836"/>
      <c r="J5" s="836"/>
      <c r="K5" s="836"/>
      <c r="L5" s="836"/>
      <c r="M5" s="836"/>
      <c r="N5" s="836"/>
      <c r="O5" s="837"/>
      <c r="P5" s="835" t="s">
        <v>59</v>
      </c>
      <c r="Q5" s="836"/>
      <c r="R5" s="836"/>
      <c r="S5" s="836"/>
      <c r="T5" s="836"/>
      <c r="U5" s="836"/>
      <c r="V5" s="836"/>
      <c r="W5" s="836"/>
      <c r="X5" s="836"/>
      <c r="Y5" s="836"/>
      <c r="Z5" s="836"/>
      <c r="AA5" s="836"/>
      <c r="AB5" s="836"/>
      <c r="AC5" s="836"/>
      <c r="AD5" s="836"/>
      <c r="AE5" s="835" t="s">
        <v>60</v>
      </c>
      <c r="AF5" s="836"/>
      <c r="AG5" s="836"/>
      <c r="AH5" s="836"/>
      <c r="AI5" s="836"/>
      <c r="AJ5" s="836"/>
      <c r="AK5" s="836"/>
      <c r="AL5" s="836"/>
      <c r="AM5" s="836"/>
      <c r="AN5" s="836"/>
      <c r="AO5" s="836"/>
      <c r="AP5" s="836"/>
      <c r="AQ5" s="836"/>
      <c r="AR5" s="836"/>
      <c r="AS5" s="837"/>
      <c r="AT5" s="835" t="s">
        <v>111</v>
      </c>
      <c r="AU5" s="836"/>
      <c r="AV5" s="836"/>
      <c r="AW5" s="836"/>
      <c r="AX5" s="836"/>
      <c r="AY5" s="836"/>
      <c r="AZ5" s="836"/>
      <c r="BA5" s="836"/>
      <c r="BB5" s="836"/>
      <c r="BC5" s="836"/>
      <c r="BD5" s="836"/>
      <c r="BE5" s="836"/>
      <c r="BF5" s="836"/>
      <c r="BG5" s="836"/>
      <c r="BH5" s="837"/>
      <c r="BI5" s="835" t="s">
        <v>116</v>
      </c>
      <c r="BJ5" s="836"/>
      <c r="BK5" s="836"/>
      <c r="BL5" s="836"/>
      <c r="BM5" s="836"/>
      <c r="BN5" s="836"/>
      <c r="BO5" s="836"/>
      <c r="BP5" s="836"/>
      <c r="BQ5" s="836"/>
      <c r="BR5" s="836"/>
      <c r="BS5" s="836"/>
      <c r="BT5" s="836"/>
      <c r="BU5" s="836"/>
      <c r="BV5" s="836"/>
      <c r="BW5" s="837"/>
    </row>
    <row r="6" spans="1:107" ht="24.75" customHeight="1">
      <c r="A6" s="855" t="s">
        <v>15</v>
      </c>
      <c r="B6" s="856"/>
      <c r="C6" s="172" t="s">
        <v>77</v>
      </c>
      <c r="D6" s="856" t="s">
        <v>359</v>
      </c>
      <c r="E6" s="856"/>
      <c r="F6" s="864" t="s">
        <v>17</v>
      </c>
      <c r="G6" s="865"/>
      <c r="H6" s="865"/>
      <c r="I6" s="865"/>
      <c r="J6" s="865"/>
      <c r="K6" s="865"/>
      <c r="L6" s="865"/>
      <c r="M6" s="865"/>
      <c r="N6" s="865"/>
      <c r="O6" s="866"/>
      <c r="P6" s="827" t="s">
        <v>15</v>
      </c>
      <c r="Q6" s="838"/>
      <c r="R6" s="24" t="s">
        <v>77</v>
      </c>
      <c r="S6" s="838" t="s">
        <v>359</v>
      </c>
      <c r="T6" s="838"/>
      <c r="U6" s="826" t="s">
        <v>17</v>
      </c>
      <c r="V6" s="801"/>
      <c r="W6" s="801"/>
      <c r="X6" s="801"/>
      <c r="Y6" s="801"/>
      <c r="Z6" s="801"/>
      <c r="AA6" s="801"/>
      <c r="AB6" s="801"/>
      <c r="AC6" s="801"/>
      <c r="AD6" s="801"/>
      <c r="AE6" s="787" t="s">
        <v>15</v>
      </c>
      <c r="AF6" s="838"/>
      <c r="AG6" s="24" t="s">
        <v>77</v>
      </c>
      <c r="AH6" s="838" t="s">
        <v>16</v>
      </c>
      <c r="AI6" s="838"/>
      <c r="AJ6" s="826" t="s">
        <v>17</v>
      </c>
      <c r="AK6" s="801"/>
      <c r="AL6" s="801"/>
      <c r="AM6" s="801"/>
      <c r="AN6" s="801"/>
      <c r="AO6" s="801"/>
      <c r="AP6" s="801"/>
      <c r="AQ6" s="801"/>
      <c r="AR6" s="801"/>
      <c r="AS6" s="802"/>
      <c r="AT6" s="787" t="s">
        <v>15</v>
      </c>
      <c r="AU6" s="838"/>
      <c r="AV6" s="24" t="s">
        <v>77</v>
      </c>
      <c r="AW6" s="838" t="s">
        <v>16</v>
      </c>
      <c r="AX6" s="838"/>
      <c r="AY6" s="826" t="s">
        <v>17</v>
      </c>
      <c r="AZ6" s="801"/>
      <c r="BA6" s="801"/>
      <c r="BB6" s="801"/>
      <c r="BC6" s="801"/>
      <c r="BD6" s="801"/>
      <c r="BE6" s="801"/>
      <c r="BF6" s="801"/>
      <c r="BG6" s="801"/>
      <c r="BH6" s="802"/>
      <c r="BI6" s="787" t="s">
        <v>15</v>
      </c>
      <c r="BJ6" s="838"/>
      <c r="BK6" s="24" t="s">
        <v>77</v>
      </c>
      <c r="BL6" s="838" t="s">
        <v>16</v>
      </c>
      <c r="BM6" s="838"/>
      <c r="BN6" s="826" t="s">
        <v>17</v>
      </c>
      <c r="BO6" s="801"/>
      <c r="BP6" s="801"/>
      <c r="BQ6" s="801"/>
      <c r="BR6" s="801"/>
      <c r="BS6" s="801"/>
      <c r="BT6" s="801"/>
      <c r="BU6" s="801"/>
      <c r="BV6" s="801"/>
      <c r="BW6" s="802"/>
    </row>
    <row r="7" spans="1:107" ht="24.75" customHeight="1">
      <c r="A7" s="785" t="s">
        <v>303</v>
      </c>
      <c r="B7" s="24" t="s">
        <v>304</v>
      </c>
      <c r="C7" s="221" t="str">
        <f>IF(COUNTIF($BZ$15:$BZ$19,A$5)=0,"",IF(D7&lt;1,"",$CM$12))</f>
        <v/>
      </c>
      <c r="D7" s="807">
        <f>_xlfn.XLOOKUP(A$5,$BZ$15:$BZ$19,$CM$15:$CM$19,"",0,1)</f>
        <v>0</v>
      </c>
      <c r="E7" s="808"/>
      <c r="F7" s="238"/>
      <c r="G7" s="239"/>
      <c r="H7" s="876"/>
      <c r="I7" s="876"/>
      <c r="J7" s="876"/>
      <c r="K7" s="874"/>
      <c r="L7" s="874"/>
      <c r="M7" s="874"/>
      <c r="N7" s="874"/>
      <c r="O7" s="875"/>
      <c r="P7" s="785" t="s">
        <v>303</v>
      </c>
      <c r="Q7" s="24" t="s">
        <v>304</v>
      </c>
      <c r="R7" s="234" t="str">
        <f>IF(COUNTIF($BZ$15:$BZ$19,P$5)=0,"",IF(S7&lt;1,"",$CM$12))</f>
        <v/>
      </c>
      <c r="S7" s="857" t="str">
        <f>_xlfn.XLOOKUP(P$5,$BZ$15:$BZ$19,$CM$15:$CM$19,"",0,1)</f>
        <v/>
      </c>
      <c r="T7" s="858"/>
      <c r="U7" s="242"/>
      <c r="V7" s="239" t="s">
        <v>319</v>
      </c>
      <c r="W7" s="873"/>
      <c r="X7" s="873"/>
      <c r="Y7" s="873"/>
      <c r="Z7" s="874" t="s">
        <v>320</v>
      </c>
      <c r="AA7" s="874"/>
      <c r="AB7" s="874"/>
      <c r="AC7" s="874"/>
      <c r="AD7" s="875"/>
      <c r="AE7" s="785" t="s">
        <v>303</v>
      </c>
      <c r="AF7" s="24" t="s">
        <v>304</v>
      </c>
      <c r="AG7" s="234" t="str">
        <f>IF(COUNTIF($BZ$15:$BZ$19,AE$5)=0,"",IF(AH7&lt;1,"",$CM$12))</f>
        <v/>
      </c>
      <c r="AH7" s="857" t="str">
        <f>_xlfn.XLOOKUP(AE$5,$BZ$15:$BZ$19,$CM$15:$CM$19,"",0,1)</f>
        <v/>
      </c>
      <c r="AI7" s="858"/>
      <c r="AJ7" s="242"/>
      <c r="AK7" s="239" t="s">
        <v>319</v>
      </c>
      <c r="AL7" s="873"/>
      <c r="AM7" s="873"/>
      <c r="AN7" s="873"/>
      <c r="AO7" s="874" t="s">
        <v>320</v>
      </c>
      <c r="AP7" s="874"/>
      <c r="AQ7" s="874"/>
      <c r="AR7" s="874"/>
      <c r="AS7" s="875"/>
      <c r="AT7" s="785" t="s">
        <v>303</v>
      </c>
      <c r="AU7" s="24" t="s">
        <v>304</v>
      </c>
      <c r="AV7" s="234" t="str">
        <f>IF(COUNTIF($BZ$15:$BZ$19,AT$5)=0,"",IF(AW7&lt;1,"",$CM$12))</f>
        <v/>
      </c>
      <c r="AW7" s="857" t="str">
        <f>_xlfn.XLOOKUP(AT$5,$BZ$15:$BZ$19,$CM$15:$CM$19,"",0,1)</f>
        <v/>
      </c>
      <c r="AX7" s="858"/>
      <c r="AY7" s="242"/>
      <c r="AZ7" s="239" t="s">
        <v>319</v>
      </c>
      <c r="BA7" s="873"/>
      <c r="BB7" s="873"/>
      <c r="BC7" s="873"/>
      <c r="BD7" s="874" t="s">
        <v>320</v>
      </c>
      <c r="BE7" s="874"/>
      <c r="BF7" s="874"/>
      <c r="BG7" s="874"/>
      <c r="BH7" s="875"/>
      <c r="BI7" s="785" t="s">
        <v>303</v>
      </c>
      <c r="BJ7" s="24" t="s">
        <v>304</v>
      </c>
      <c r="BK7" s="234" t="str">
        <f>IF(COUNTIF($BZ$15:$BZ$19,BI$5)=0,"",IF(BL7&lt;1,"",$CM$12))</f>
        <v/>
      </c>
      <c r="BL7" s="857" t="str">
        <f>_xlfn.XLOOKUP(BI$5,$BZ$15:$BZ$19,$CM$15:$CM$19,"",0,1)</f>
        <v/>
      </c>
      <c r="BM7" s="858"/>
      <c r="BN7" s="242"/>
      <c r="BO7" s="239" t="s">
        <v>319</v>
      </c>
      <c r="BP7" s="873"/>
      <c r="BQ7" s="873"/>
      <c r="BR7" s="873"/>
      <c r="BS7" s="874" t="s">
        <v>320</v>
      </c>
      <c r="BT7" s="874"/>
      <c r="BU7" s="874"/>
      <c r="BV7" s="874"/>
      <c r="BW7" s="875"/>
    </row>
    <row r="8" spans="1:107" ht="24.75" customHeight="1">
      <c r="A8" s="786"/>
      <c r="B8" s="24" t="s">
        <v>305</v>
      </c>
      <c r="C8" s="234" t="str">
        <f>IF(COUNTIF($BZ$15:$BZ$19,A$5)=0,"",IF(D8&lt;1,"",$CN$12))</f>
        <v/>
      </c>
      <c r="D8" s="857">
        <f>IF(COUNTIF($BZ$15:$BZ$19,A$5)=0,"",_xlfn.XLOOKUP(A$5,$BZ$15:$BZ$19,$CN$15:$CN$19,"",0,1))</f>
        <v>0</v>
      </c>
      <c r="E8" s="858"/>
      <c r="F8" s="242"/>
      <c r="G8" s="239" t="s">
        <v>319</v>
      </c>
      <c r="H8" s="873"/>
      <c r="I8" s="873"/>
      <c r="J8" s="873"/>
      <c r="K8" s="874" t="s">
        <v>320</v>
      </c>
      <c r="L8" s="874"/>
      <c r="M8" s="874"/>
      <c r="N8" s="874"/>
      <c r="O8" s="875"/>
      <c r="P8" s="786"/>
      <c r="Q8" s="24" t="s">
        <v>305</v>
      </c>
      <c r="R8" s="234" t="str">
        <f>IF(COUNTIF($BZ$15:$BZ$19,P$5)=0,"",IF(S8&lt;1,"",$CN$12))</f>
        <v/>
      </c>
      <c r="S8" s="857" t="str">
        <f>IF(COUNTIF($BZ$15:$BZ$19,P$5)=0,"",_xlfn.XLOOKUP(P$5,$BZ$15:$BZ$19,$CN$15:$CN$19,"",0,1))</f>
        <v/>
      </c>
      <c r="T8" s="858"/>
      <c r="U8" s="242"/>
      <c r="V8" s="239" t="s">
        <v>319</v>
      </c>
      <c r="W8" s="873"/>
      <c r="X8" s="873"/>
      <c r="Y8" s="873"/>
      <c r="Z8" s="874" t="s">
        <v>320</v>
      </c>
      <c r="AA8" s="874"/>
      <c r="AB8" s="874"/>
      <c r="AC8" s="874"/>
      <c r="AD8" s="875"/>
      <c r="AE8" s="786"/>
      <c r="AF8" s="24" t="s">
        <v>305</v>
      </c>
      <c r="AG8" s="234" t="str">
        <f>IF(COUNTIF($BZ$15:$BZ$19,AE$5)=0,"",IF(AH8&lt;1,"",$CN$12))</f>
        <v/>
      </c>
      <c r="AH8" s="857" t="str">
        <f>IF(COUNTIF($BZ$15:$BZ$19,AE$5)=0,"",_xlfn.XLOOKUP(AE$5,$BZ$15:$BZ$19,$CN$15:$CN$19,"",0,1))</f>
        <v/>
      </c>
      <c r="AI8" s="858"/>
      <c r="AJ8" s="242"/>
      <c r="AK8" s="239" t="s">
        <v>319</v>
      </c>
      <c r="AL8" s="873"/>
      <c r="AM8" s="873"/>
      <c r="AN8" s="873"/>
      <c r="AO8" s="874" t="s">
        <v>320</v>
      </c>
      <c r="AP8" s="874"/>
      <c r="AQ8" s="874"/>
      <c r="AR8" s="874"/>
      <c r="AS8" s="875"/>
      <c r="AT8" s="786"/>
      <c r="AU8" s="24" t="s">
        <v>305</v>
      </c>
      <c r="AV8" s="234" t="str">
        <f>IF(COUNTIF($BZ$15:$BZ$19,AT$5)=0,"",IF(AW8&lt;1,"",$CN$12))</f>
        <v/>
      </c>
      <c r="AW8" s="857" t="str">
        <f>IF(COUNTIF($BZ$15:$BZ$19,AT$5)=0,"",_xlfn.XLOOKUP(AT$5,$BZ$15:$BZ$19,$CN$15:$CN$19,"",0,1))</f>
        <v/>
      </c>
      <c r="AX8" s="858"/>
      <c r="AY8" s="242"/>
      <c r="AZ8" s="239" t="s">
        <v>319</v>
      </c>
      <c r="BA8" s="873"/>
      <c r="BB8" s="873"/>
      <c r="BC8" s="873"/>
      <c r="BD8" s="874" t="s">
        <v>320</v>
      </c>
      <c r="BE8" s="874"/>
      <c r="BF8" s="874"/>
      <c r="BG8" s="874"/>
      <c r="BH8" s="875"/>
      <c r="BI8" s="786"/>
      <c r="BJ8" s="24" t="s">
        <v>305</v>
      </c>
      <c r="BK8" s="234" t="str">
        <f>IF(COUNTIF($BZ$15:$BZ$19,BI$5)=0,"",IF(BL8&lt;1,"",$CN$12))</f>
        <v/>
      </c>
      <c r="BL8" s="857" t="str">
        <f>IF(COUNTIF($BZ$15:$BZ$19,BI$5)=0,"",_xlfn.XLOOKUP(BI$5,$BZ$15:$BZ$19,$CN$15:$CN$19,"",0,1))</f>
        <v/>
      </c>
      <c r="BM8" s="858"/>
      <c r="BN8" s="242"/>
      <c r="BO8" s="239" t="s">
        <v>319</v>
      </c>
      <c r="BP8" s="873"/>
      <c r="BQ8" s="873"/>
      <c r="BR8" s="873"/>
      <c r="BS8" s="874" t="s">
        <v>320</v>
      </c>
      <c r="BT8" s="874"/>
      <c r="BU8" s="874"/>
      <c r="BV8" s="874"/>
      <c r="BW8" s="875"/>
    </row>
    <row r="9" spans="1:107" ht="24.75" customHeight="1">
      <c r="A9" s="786"/>
      <c r="B9" s="24" t="s">
        <v>306</v>
      </c>
      <c r="C9" s="234" t="str">
        <f>IF(COUNTIF($BZ$15:$BZ$19,A$5)=0,"",IF(D9&lt;1,"",$CO$12))</f>
        <v/>
      </c>
      <c r="D9" s="857">
        <f>IF(COUNTIF($BZ$15:$BZ$19,A$5)=0,"",_xlfn.XLOOKUP(A$5,$BZ$15:$BZ$19,$CO$15:$CO$19,"",0,1))</f>
        <v>0</v>
      </c>
      <c r="E9" s="858"/>
      <c r="F9" s="242"/>
      <c r="G9" s="239" t="s">
        <v>319</v>
      </c>
      <c r="H9" s="873"/>
      <c r="I9" s="873"/>
      <c r="J9" s="873"/>
      <c r="K9" s="874" t="s">
        <v>320</v>
      </c>
      <c r="L9" s="874"/>
      <c r="M9" s="874"/>
      <c r="N9" s="874"/>
      <c r="O9" s="875"/>
      <c r="P9" s="786"/>
      <c r="Q9" s="24" t="s">
        <v>306</v>
      </c>
      <c r="R9" s="221" t="str">
        <f>IF(COUNTIF($BZ$15:$BZ$19,P$5)=0,"",IF(S9&lt;1,"",$CO$12))</f>
        <v/>
      </c>
      <c r="S9" s="807" t="str">
        <f>IF(COUNTIF($BZ$15:$BZ$19,P$5)=0,"",_xlfn.XLOOKUP(P$5,$BZ$15:$BZ$19,$CO$15:$CO$19,"",0,1))</f>
        <v/>
      </c>
      <c r="T9" s="808"/>
      <c r="U9" s="242"/>
      <c r="V9" s="239" t="s">
        <v>319</v>
      </c>
      <c r="W9" s="873"/>
      <c r="X9" s="873"/>
      <c r="Y9" s="873"/>
      <c r="Z9" s="874" t="s">
        <v>320</v>
      </c>
      <c r="AA9" s="874"/>
      <c r="AB9" s="874"/>
      <c r="AC9" s="874"/>
      <c r="AD9" s="875"/>
      <c r="AE9" s="786"/>
      <c r="AF9" s="24" t="s">
        <v>306</v>
      </c>
      <c r="AG9" s="234" t="str">
        <f>IF(COUNTIF($BZ$15:$BZ$19,AE$5)=0,"",IF(AH9&lt;1,"",$CO$12))</f>
        <v/>
      </c>
      <c r="AH9" s="857" t="str">
        <f>IF(COUNTIF($BZ$15:$BZ$19,AE$5)=0,"",_xlfn.XLOOKUP(AE$5,$BZ$15:$BZ$19,$CO$15:$CO$19,"",0,1))</f>
        <v/>
      </c>
      <c r="AI9" s="858"/>
      <c r="AJ9" s="242"/>
      <c r="AK9" s="239" t="s">
        <v>319</v>
      </c>
      <c r="AL9" s="873"/>
      <c r="AM9" s="873"/>
      <c r="AN9" s="873"/>
      <c r="AO9" s="874" t="s">
        <v>320</v>
      </c>
      <c r="AP9" s="874"/>
      <c r="AQ9" s="874"/>
      <c r="AR9" s="874"/>
      <c r="AS9" s="875"/>
      <c r="AT9" s="786"/>
      <c r="AU9" s="24" t="s">
        <v>306</v>
      </c>
      <c r="AV9" s="234" t="str">
        <f>IF(COUNTIF($BZ$15:$BZ$19,AT$5)=0,"",IF(AW9&lt;1,"",$CO$12))</f>
        <v/>
      </c>
      <c r="AW9" s="857" t="str">
        <f>IF(COUNTIF($BZ$15:$BZ$19,AT$5)=0,"",_xlfn.XLOOKUP(AT$5,$BZ$15:$BZ$19,$CO$15:$CO$19,"",0,1))</f>
        <v/>
      </c>
      <c r="AX9" s="858"/>
      <c r="AY9" s="242"/>
      <c r="AZ9" s="239" t="s">
        <v>319</v>
      </c>
      <c r="BA9" s="873"/>
      <c r="BB9" s="873"/>
      <c r="BC9" s="873"/>
      <c r="BD9" s="874" t="s">
        <v>320</v>
      </c>
      <c r="BE9" s="874"/>
      <c r="BF9" s="874"/>
      <c r="BG9" s="874"/>
      <c r="BH9" s="875"/>
      <c r="BI9" s="786"/>
      <c r="BJ9" s="24" t="s">
        <v>306</v>
      </c>
      <c r="BK9" s="234" t="str">
        <f>IF(COUNTIF($BZ$15:$BZ$19,BI$5)=0,"",IF(BL9&lt;1,"",$CO$12))</f>
        <v/>
      </c>
      <c r="BL9" s="857" t="str">
        <f>IF(COUNTIF($BZ$15:$BZ$19,BI$5)=0,"",_xlfn.XLOOKUP(BI$5,$BZ$15:$BZ$19,$CO$15:$CO$19,"",0,1))</f>
        <v/>
      </c>
      <c r="BM9" s="858"/>
      <c r="BN9" s="242"/>
      <c r="BO9" s="239" t="s">
        <v>319</v>
      </c>
      <c r="BP9" s="873"/>
      <c r="BQ9" s="873"/>
      <c r="BR9" s="873"/>
      <c r="BS9" s="874" t="s">
        <v>320</v>
      </c>
      <c r="BT9" s="874"/>
      <c r="BU9" s="874"/>
      <c r="BV9" s="874"/>
      <c r="BW9" s="875"/>
    </row>
    <row r="10" spans="1:107" ht="24.75" customHeight="1">
      <c r="A10" s="786"/>
      <c r="B10" s="24" t="s">
        <v>307</v>
      </c>
      <c r="C10" s="867" t="str">
        <f>IF(COUNTIF($BZ$15:$BZ$19,A$5)=0,"",_xlfn.XLOOKUP(A$5,$BZ$15:$BZ$19,$CP$15:$CP$19,"",0,1))</f>
        <v/>
      </c>
      <c r="D10" s="868"/>
      <c r="E10" s="868"/>
      <c r="F10" s="868"/>
      <c r="G10" s="868"/>
      <c r="H10" s="868"/>
      <c r="I10" s="868"/>
      <c r="J10" s="868"/>
      <c r="K10" s="868"/>
      <c r="L10" s="868"/>
      <c r="M10" s="868"/>
      <c r="N10" s="868"/>
      <c r="O10" s="869"/>
      <c r="P10" s="786"/>
      <c r="Q10" s="24" t="s">
        <v>307</v>
      </c>
      <c r="R10" s="867" t="str">
        <f>IF(COUNTIF($BZ$15:$BZ$19,P$5)=0,"",_xlfn.XLOOKUP(P$5,$BZ$15:$BZ$19,$CP$15:$CP$19,"",0,1))</f>
        <v/>
      </c>
      <c r="S10" s="868"/>
      <c r="T10" s="868"/>
      <c r="U10" s="868"/>
      <c r="V10" s="868"/>
      <c r="W10" s="868"/>
      <c r="X10" s="868"/>
      <c r="Y10" s="868"/>
      <c r="Z10" s="868"/>
      <c r="AA10" s="868"/>
      <c r="AB10" s="868"/>
      <c r="AC10" s="868"/>
      <c r="AD10" s="869"/>
      <c r="AE10" s="786"/>
      <c r="AF10" s="24" t="s">
        <v>307</v>
      </c>
      <c r="AG10" s="867" t="str">
        <f>IF(COUNTIF($BZ$15:$BZ$19,AE$5)=0,"",_xlfn.XLOOKUP(AE$5,$BZ$15:$BZ$19,$CP$15:$CP$19,"",0,1))</f>
        <v/>
      </c>
      <c r="AH10" s="868"/>
      <c r="AI10" s="868"/>
      <c r="AJ10" s="868"/>
      <c r="AK10" s="868"/>
      <c r="AL10" s="868"/>
      <c r="AM10" s="868"/>
      <c r="AN10" s="868"/>
      <c r="AO10" s="868"/>
      <c r="AP10" s="868"/>
      <c r="AQ10" s="868"/>
      <c r="AR10" s="868"/>
      <c r="AS10" s="869"/>
      <c r="AT10" s="786"/>
      <c r="AU10" s="24" t="s">
        <v>307</v>
      </c>
      <c r="AV10" s="867" t="str">
        <f>IF(COUNTIF($BZ$15:$BZ$19,AT$5)=0,"",_xlfn.XLOOKUP(AT$5,$BZ$15:$BZ$19,$CP$15:$CP$19,"",0,1))</f>
        <v/>
      </c>
      <c r="AW10" s="868"/>
      <c r="AX10" s="868"/>
      <c r="AY10" s="868"/>
      <c r="AZ10" s="868"/>
      <c r="BA10" s="868"/>
      <c r="BB10" s="868"/>
      <c r="BC10" s="868"/>
      <c r="BD10" s="868"/>
      <c r="BE10" s="868"/>
      <c r="BF10" s="868"/>
      <c r="BG10" s="868"/>
      <c r="BH10" s="869"/>
      <c r="BI10" s="786"/>
      <c r="BJ10" s="24" t="s">
        <v>307</v>
      </c>
      <c r="BK10" s="867" t="str">
        <f>IF(COUNTIF($BZ$15:$BZ$19,BI$5)=0,"",_xlfn.XLOOKUP(BI$5,$BZ$15:$BZ$19,$CP$15:$CP$19,"",0,1))</f>
        <v/>
      </c>
      <c r="BL10" s="868"/>
      <c r="BM10" s="868"/>
      <c r="BN10" s="868"/>
      <c r="BO10" s="868"/>
      <c r="BP10" s="868"/>
      <c r="BQ10" s="868"/>
      <c r="BR10" s="868"/>
      <c r="BS10" s="868"/>
      <c r="BT10" s="868"/>
      <c r="BU10" s="868"/>
      <c r="BV10" s="868"/>
      <c r="BW10" s="869"/>
    </row>
    <row r="11" spans="1:107" ht="24.75" customHeight="1">
      <c r="A11" s="787"/>
      <c r="B11" s="24" t="s">
        <v>343</v>
      </c>
      <c r="C11" s="867" t="str">
        <f>IF(COUNTIF($BZ$15:$BZ$19,A$5)=0,"",_xlfn.XLOOKUP(A$5,$BZ$15:$BZ$19,$CQ$15:$CQ$19,"",0,1))</f>
        <v/>
      </c>
      <c r="D11" s="868"/>
      <c r="E11" s="868"/>
      <c r="F11" s="868"/>
      <c r="G11" s="868"/>
      <c r="H11" s="868"/>
      <c r="I11" s="868"/>
      <c r="J11" s="868"/>
      <c r="K11" s="868"/>
      <c r="L11" s="868"/>
      <c r="M11" s="868"/>
      <c r="N11" s="868"/>
      <c r="O11" s="869"/>
      <c r="P11" s="787"/>
      <c r="Q11" s="24" t="s">
        <v>343</v>
      </c>
      <c r="R11" s="867" t="str">
        <f>IF(COUNTIF($BZ$15:$BZ$19,P$5)=0,"",_xlfn.XLOOKUP(P$5,$BZ$15:$BZ$19,$CQ$15:$CQ$19,"",0,1))</f>
        <v/>
      </c>
      <c r="S11" s="868"/>
      <c r="T11" s="868"/>
      <c r="U11" s="868"/>
      <c r="V11" s="868"/>
      <c r="W11" s="868"/>
      <c r="X11" s="868"/>
      <c r="Y11" s="868"/>
      <c r="Z11" s="868"/>
      <c r="AA11" s="868"/>
      <c r="AB11" s="868"/>
      <c r="AC11" s="868"/>
      <c r="AD11" s="869"/>
      <c r="AE11" s="787"/>
      <c r="AF11" s="24" t="s">
        <v>343</v>
      </c>
      <c r="AG11" s="867" t="str">
        <f>IF(COUNTIF($BZ$15:$BZ$19,AE$5)=0,"",_xlfn.XLOOKUP(AE$5,$BZ$15:$BZ$19,$CQ$15:$CQ$19,"",0,1))</f>
        <v/>
      </c>
      <c r="AH11" s="868"/>
      <c r="AI11" s="868"/>
      <c r="AJ11" s="868"/>
      <c r="AK11" s="868"/>
      <c r="AL11" s="868"/>
      <c r="AM11" s="868"/>
      <c r="AN11" s="868"/>
      <c r="AO11" s="868"/>
      <c r="AP11" s="868"/>
      <c r="AQ11" s="868"/>
      <c r="AR11" s="868"/>
      <c r="AS11" s="869"/>
      <c r="AT11" s="787"/>
      <c r="AU11" s="24" t="s">
        <v>343</v>
      </c>
      <c r="AV11" s="867" t="str">
        <f>IF(COUNTIF($BZ$15:$BZ$19,AT$5)=0,"",_xlfn.XLOOKUP(AT$5,$BZ$15:$BZ$19,$CQ$15:$CQ$19,"",0,1))</f>
        <v/>
      </c>
      <c r="AW11" s="868"/>
      <c r="AX11" s="868"/>
      <c r="AY11" s="868"/>
      <c r="AZ11" s="868"/>
      <c r="BA11" s="868"/>
      <c r="BB11" s="868"/>
      <c r="BC11" s="868"/>
      <c r="BD11" s="868"/>
      <c r="BE11" s="868"/>
      <c r="BF11" s="868"/>
      <c r="BG11" s="868"/>
      <c r="BH11" s="869"/>
      <c r="BI11" s="787"/>
      <c r="BJ11" s="24" t="s">
        <v>343</v>
      </c>
      <c r="BK11" s="867" t="str">
        <f>IF(COUNTIF($BZ$15:$BZ$19,BI$5)=0,"",_xlfn.XLOOKUP(BI$5,$BZ$15:$BZ$19,$CQ$15:$CQ$19,"",0,1))</f>
        <v/>
      </c>
      <c r="BL11" s="868"/>
      <c r="BM11" s="868"/>
      <c r="BN11" s="868"/>
      <c r="BO11" s="868"/>
      <c r="BP11" s="868"/>
      <c r="BQ11" s="868"/>
      <c r="BR11" s="868"/>
      <c r="BS11" s="868"/>
      <c r="BT11" s="868"/>
      <c r="BU11" s="868"/>
      <c r="BV11" s="868"/>
      <c r="BW11" s="869"/>
    </row>
    <row r="12" spans="1:107" ht="24.75" customHeight="1">
      <c r="A12" s="785" t="s">
        <v>117</v>
      </c>
      <c r="B12" s="23" t="s">
        <v>62</v>
      </c>
      <c r="C12" s="150"/>
      <c r="D12" s="807"/>
      <c r="E12" s="808"/>
      <c r="F12" s="792" t="s">
        <v>266</v>
      </c>
      <c r="G12" s="817"/>
      <c r="H12" s="817"/>
      <c r="I12" s="793"/>
      <c r="J12" s="839"/>
      <c r="K12" s="840"/>
      <c r="L12" s="840"/>
      <c r="M12" s="840"/>
      <c r="N12" s="840"/>
      <c r="O12" s="841"/>
      <c r="P12" s="808" t="s">
        <v>118</v>
      </c>
      <c r="Q12" s="23" t="s">
        <v>63</v>
      </c>
      <c r="R12" s="150"/>
      <c r="S12" s="233"/>
      <c r="T12" s="175"/>
      <c r="U12" s="792" t="s">
        <v>271</v>
      </c>
      <c r="V12" s="817"/>
      <c r="W12" s="817"/>
      <c r="X12" s="793"/>
      <c r="Y12" s="842"/>
      <c r="Z12" s="843"/>
      <c r="AA12" s="843"/>
      <c r="AB12" s="843"/>
      <c r="AC12" s="843"/>
      <c r="AD12" s="844"/>
      <c r="AE12" s="794"/>
      <c r="AF12" s="795"/>
      <c r="AG12" s="795"/>
      <c r="AH12" s="795"/>
      <c r="AI12" s="795"/>
      <c r="AJ12" s="795"/>
      <c r="AK12" s="795"/>
      <c r="AL12" s="795"/>
      <c r="AM12" s="795"/>
      <c r="AN12" s="795"/>
      <c r="AO12" s="795"/>
      <c r="AP12" s="795"/>
      <c r="AQ12" s="795"/>
      <c r="AR12" s="795"/>
      <c r="AS12" s="796"/>
      <c r="AT12" s="794"/>
      <c r="AU12" s="795"/>
      <c r="AV12" s="795"/>
      <c r="AW12" s="795"/>
      <c r="AX12" s="795"/>
      <c r="AY12" s="795"/>
      <c r="AZ12" s="795"/>
      <c r="BA12" s="795"/>
      <c r="BB12" s="795"/>
      <c r="BC12" s="795"/>
      <c r="BD12" s="795"/>
      <c r="BE12" s="795"/>
      <c r="BF12" s="795"/>
      <c r="BG12" s="795"/>
      <c r="BH12" s="796"/>
      <c r="BI12" s="794"/>
      <c r="BJ12" s="795"/>
      <c r="BK12" s="795"/>
      <c r="BL12" s="795"/>
      <c r="BM12" s="795"/>
      <c r="BN12" s="795"/>
      <c r="BO12" s="795"/>
      <c r="BP12" s="795"/>
      <c r="BQ12" s="795"/>
      <c r="BR12" s="795"/>
      <c r="BS12" s="795"/>
      <c r="BT12" s="795"/>
      <c r="BU12" s="795"/>
      <c r="BV12" s="795"/>
      <c r="BW12" s="796"/>
      <c r="CM12" s="218">
        <v>0.29166666666666669</v>
      </c>
      <c r="CN12" s="218">
        <v>0.5</v>
      </c>
      <c r="CO12" s="218">
        <v>0.72916666666666663</v>
      </c>
    </row>
    <row r="13" spans="1:107" ht="27">
      <c r="A13" s="786"/>
      <c r="B13" s="178" t="s">
        <v>290</v>
      </c>
      <c r="C13" s="150"/>
      <c r="D13" s="171"/>
      <c r="E13" s="165" t="s">
        <v>265</v>
      </c>
      <c r="F13" s="826" t="s">
        <v>270</v>
      </c>
      <c r="G13" s="801"/>
      <c r="H13" s="801"/>
      <c r="I13" s="827"/>
      <c r="J13" s="809"/>
      <c r="K13" s="810"/>
      <c r="L13" s="810"/>
      <c r="M13" s="810"/>
      <c r="N13" s="810"/>
      <c r="O13" s="811"/>
      <c r="P13" s="845"/>
      <c r="Q13" s="178" t="s">
        <v>289</v>
      </c>
      <c r="R13" s="150"/>
      <c r="S13" s="171"/>
      <c r="T13" s="165" t="s">
        <v>265</v>
      </c>
      <c r="U13" s="826" t="s">
        <v>270</v>
      </c>
      <c r="V13" s="801"/>
      <c r="W13" s="801"/>
      <c r="X13" s="827"/>
      <c r="Y13" s="828"/>
      <c r="Z13" s="829"/>
      <c r="AA13" s="829"/>
      <c r="AB13" s="829"/>
      <c r="AC13" s="829"/>
      <c r="AD13" s="830"/>
      <c r="AE13" s="797"/>
      <c r="AF13" s="798"/>
      <c r="AG13" s="798"/>
      <c r="AH13" s="798"/>
      <c r="AI13" s="798"/>
      <c r="AJ13" s="798"/>
      <c r="AK13" s="798"/>
      <c r="AL13" s="798"/>
      <c r="AM13" s="798"/>
      <c r="AN13" s="798"/>
      <c r="AO13" s="798"/>
      <c r="AP13" s="798"/>
      <c r="AQ13" s="798"/>
      <c r="AR13" s="798"/>
      <c r="AS13" s="799"/>
      <c r="AT13" s="797"/>
      <c r="AU13" s="798"/>
      <c r="AV13" s="798"/>
      <c r="AW13" s="798"/>
      <c r="AX13" s="798"/>
      <c r="AY13" s="798"/>
      <c r="AZ13" s="798"/>
      <c r="BA13" s="798"/>
      <c r="BB13" s="798"/>
      <c r="BC13" s="798"/>
      <c r="BD13" s="798"/>
      <c r="BE13" s="798"/>
      <c r="BF13" s="798"/>
      <c r="BG13" s="798"/>
      <c r="BH13" s="799"/>
      <c r="BI13" s="797"/>
      <c r="BJ13" s="798"/>
      <c r="BK13" s="798"/>
      <c r="BL13" s="798"/>
      <c r="BM13" s="798"/>
      <c r="BN13" s="798"/>
      <c r="BO13" s="798"/>
      <c r="BP13" s="798"/>
      <c r="BQ13" s="798"/>
      <c r="BR13" s="798"/>
      <c r="BS13" s="798"/>
      <c r="BT13" s="798"/>
      <c r="BU13" s="798"/>
      <c r="BV13" s="798"/>
      <c r="BW13" s="799"/>
      <c r="BZ13" s="212"/>
      <c r="CA13" s="833" t="s">
        <v>296</v>
      </c>
      <c r="CB13" s="833"/>
      <c r="CC13" s="833"/>
      <c r="CD13" s="782" t="s">
        <v>372</v>
      </c>
      <c r="CE13" s="783"/>
      <c r="CF13" s="784"/>
      <c r="CG13" s="833" t="s">
        <v>295</v>
      </c>
      <c r="CH13" s="833"/>
      <c r="CI13" s="833"/>
      <c r="CJ13" s="833" t="s">
        <v>297</v>
      </c>
      <c r="CK13" s="833"/>
      <c r="CL13" s="833"/>
      <c r="CM13" s="212" t="s">
        <v>304</v>
      </c>
      <c r="CN13" s="212" t="s">
        <v>305</v>
      </c>
      <c r="CO13" s="212" t="s">
        <v>306</v>
      </c>
      <c r="CP13" s="212" t="s">
        <v>303</v>
      </c>
      <c r="CQ13" s="212" t="s">
        <v>343</v>
      </c>
      <c r="CR13" s="212" t="s">
        <v>343</v>
      </c>
      <c r="CS13" s="212" t="s">
        <v>275</v>
      </c>
      <c r="CT13" s="212"/>
      <c r="CU13" s="212"/>
      <c r="CV13" s="212"/>
      <c r="CW13" s="212"/>
      <c r="CX13" s="212"/>
      <c r="CY13" s="212"/>
      <c r="CZ13" s="212"/>
      <c r="DA13" s="212"/>
      <c r="DB13" s="212"/>
      <c r="DC13" s="212"/>
    </row>
    <row r="14" spans="1:107" ht="27">
      <c r="A14" s="786"/>
      <c r="B14" s="178" t="s">
        <v>274</v>
      </c>
      <c r="C14" s="150"/>
      <c r="D14" s="171"/>
      <c r="E14" s="165" t="s">
        <v>265</v>
      </c>
      <c r="F14" s="792" t="s">
        <v>300</v>
      </c>
      <c r="G14" s="793"/>
      <c r="H14" s="815"/>
      <c r="I14" s="816"/>
      <c r="J14" s="817" t="s">
        <v>272</v>
      </c>
      <c r="K14" s="817"/>
      <c r="L14" s="817"/>
      <c r="M14" s="793"/>
      <c r="N14" s="818"/>
      <c r="O14" s="819"/>
      <c r="P14" s="845"/>
      <c r="Q14" s="178" t="s">
        <v>291</v>
      </c>
      <c r="R14" s="150"/>
      <c r="S14" s="171"/>
      <c r="T14" s="165" t="s">
        <v>265</v>
      </c>
      <c r="U14" s="792" t="s">
        <v>267</v>
      </c>
      <c r="V14" s="817"/>
      <c r="W14" s="817"/>
      <c r="X14" s="793"/>
      <c r="Y14" s="815"/>
      <c r="Z14" s="818"/>
      <c r="AA14" s="818"/>
      <c r="AB14" s="818"/>
      <c r="AC14" s="818"/>
      <c r="AD14" s="819"/>
      <c r="AE14" s="797"/>
      <c r="AF14" s="798"/>
      <c r="AG14" s="798"/>
      <c r="AH14" s="798"/>
      <c r="AI14" s="798"/>
      <c r="AJ14" s="798"/>
      <c r="AK14" s="798"/>
      <c r="AL14" s="798"/>
      <c r="AM14" s="798"/>
      <c r="AN14" s="798"/>
      <c r="AO14" s="798"/>
      <c r="AP14" s="798"/>
      <c r="AQ14" s="798"/>
      <c r="AR14" s="798"/>
      <c r="AS14" s="799"/>
      <c r="AT14" s="797"/>
      <c r="AU14" s="798"/>
      <c r="AV14" s="798"/>
      <c r="AW14" s="798"/>
      <c r="AX14" s="798"/>
      <c r="AY14" s="798"/>
      <c r="AZ14" s="798"/>
      <c r="BA14" s="798"/>
      <c r="BB14" s="798"/>
      <c r="BC14" s="798"/>
      <c r="BD14" s="798"/>
      <c r="BE14" s="798"/>
      <c r="BF14" s="798"/>
      <c r="BG14" s="798"/>
      <c r="BH14" s="799"/>
      <c r="BI14" s="797"/>
      <c r="BJ14" s="798"/>
      <c r="BK14" s="798"/>
      <c r="BL14" s="798"/>
      <c r="BM14" s="798"/>
      <c r="BN14" s="798"/>
      <c r="BO14" s="798"/>
      <c r="BP14" s="798"/>
      <c r="BQ14" s="798"/>
      <c r="BR14" s="798"/>
      <c r="BS14" s="798"/>
      <c r="BT14" s="798"/>
      <c r="BU14" s="798"/>
      <c r="BV14" s="798"/>
      <c r="BW14" s="799"/>
      <c r="BZ14" s="212"/>
      <c r="CA14" s="212" t="s">
        <v>299</v>
      </c>
      <c r="CB14" s="212" t="s">
        <v>154</v>
      </c>
      <c r="CC14" s="213" t="s">
        <v>298</v>
      </c>
      <c r="CD14" s="212" t="s">
        <v>299</v>
      </c>
      <c r="CE14" s="212" t="s">
        <v>154</v>
      </c>
      <c r="CF14" s="213" t="s">
        <v>298</v>
      </c>
      <c r="CG14" s="212" t="s">
        <v>299</v>
      </c>
      <c r="CH14" s="212" t="s">
        <v>154</v>
      </c>
      <c r="CI14" s="213" t="s">
        <v>298</v>
      </c>
      <c r="CJ14" s="212" t="s">
        <v>299</v>
      </c>
      <c r="CK14" s="212" t="s">
        <v>154</v>
      </c>
      <c r="CL14" s="213" t="s">
        <v>298</v>
      </c>
      <c r="CM14" s="212"/>
      <c r="CN14" s="212"/>
      <c r="CO14" s="212"/>
      <c r="CP14" s="212"/>
      <c r="CQ14" s="212"/>
      <c r="CR14" s="212"/>
      <c r="CS14" s="212"/>
      <c r="CT14" s="212"/>
      <c r="CU14" s="212"/>
      <c r="CV14" s="212"/>
      <c r="CW14" s="212"/>
      <c r="CX14" s="212"/>
      <c r="CY14" s="212"/>
      <c r="CZ14" s="212"/>
      <c r="DA14" s="212"/>
      <c r="DB14" s="212"/>
      <c r="DC14" s="212"/>
    </row>
    <row r="15" spans="1:107" ht="24.75" customHeight="1">
      <c r="A15" s="786"/>
      <c r="B15" s="23" t="s">
        <v>0</v>
      </c>
      <c r="C15" s="150"/>
      <c r="D15" s="809"/>
      <c r="E15" s="834"/>
      <c r="F15" s="792" t="s">
        <v>119</v>
      </c>
      <c r="G15" s="817"/>
      <c r="H15" s="820"/>
      <c r="I15" s="820"/>
      <c r="J15" s="824"/>
      <c r="K15" s="824"/>
      <c r="L15" s="824"/>
      <c r="M15" s="824"/>
      <c r="N15" s="824"/>
      <c r="O15" s="825"/>
      <c r="P15" s="845"/>
      <c r="Q15" s="23" t="s">
        <v>1</v>
      </c>
      <c r="R15" s="173"/>
      <c r="S15" s="809"/>
      <c r="T15" s="834"/>
      <c r="U15" s="792" t="s">
        <v>119</v>
      </c>
      <c r="V15" s="817"/>
      <c r="W15" s="820"/>
      <c r="X15" s="820"/>
      <c r="Y15" s="824"/>
      <c r="Z15" s="824"/>
      <c r="AA15" s="824"/>
      <c r="AB15" s="824"/>
      <c r="AC15" s="824"/>
      <c r="AD15" s="825"/>
      <c r="AE15" s="800"/>
      <c r="AF15" s="801"/>
      <c r="AG15" s="801"/>
      <c r="AH15" s="801"/>
      <c r="AI15" s="801"/>
      <c r="AJ15" s="801"/>
      <c r="AK15" s="801"/>
      <c r="AL15" s="801"/>
      <c r="AM15" s="801"/>
      <c r="AN15" s="801"/>
      <c r="AO15" s="801"/>
      <c r="AP15" s="801"/>
      <c r="AQ15" s="801"/>
      <c r="AR15" s="801"/>
      <c r="AS15" s="802"/>
      <c r="AT15" s="800"/>
      <c r="AU15" s="801"/>
      <c r="AV15" s="801"/>
      <c r="AW15" s="801"/>
      <c r="AX15" s="801"/>
      <c r="AY15" s="801"/>
      <c r="AZ15" s="801"/>
      <c r="BA15" s="801"/>
      <c r="BB15" s="801"/>
      <c r="BC15" s="801"/>
      <c r="BD15" s="801"/>
      <c r="BE15" s="801"/>
      <c r="BF15" s="801"/>
      <c r="BG15" s="801"/>
      <c r="BH15" s="802"/>
      <c r="BI15" s="800"/>
      <c r="BJ15" s="801"/>
      <c r="BK15" s="801"/>
      <c r="BL15" s="801"/>
      <c r="BM15" s="801"/>
      <c r="BN15" s="801"/>
      <c r="BO15" s="801"/>
      <c r="BP15" s="801"/>
      <c r="BQ15" s="801"/>
      <c r="BR15" s="801"/>
      <c r="BS15" s="801"/>
      <c r="BT15" s="801"/>
      <c r="BU15" s="801"/>
      <c r="BV15" s="801"/>
      <c r="BW15" s="802"/>
      <c r="BZ15" s="212" t="str">
        <f>食事申込書!I10</f>
        <v>初日</v>
      </c>
      <c r="CA15" s="214">
        <f>IF($BZ15="","",食事申込書!$I$17)</f>
        <v>0</v>
      </c>
      <c r="CB15" s="212">
        <f>IF($BZ15="","",食事申込書!$I$18)</f>
        <v>0</v>
      </c>
      <c r="CC15" s="213" t="str">
        <f>IF($BZ15="","",食事申込書!$I$19&amp;食事申込書!$L$19)</f>
        <v/>
      </c>
      <c r="CD15" s="214">
        <f>IF($BZ15="","",食事申込書!$I$20)</f>
        <v>0</v>
      </c>
      <c r="CE15" s="212">
        <f>IF($BZ15="","",食事申込書!$I$21)</f>
        <v>0</v>
      </c>
      <c r="CF15" s="213" t="str">
        <f>IF($BZ15="","",食事申込書!$I$22&amp;食事申込書!$L$22)</f>
        <v/>
      </c>
      <c r="CG15" s="215">
        <f>食事申込書!$I$23</f>
        <v>0</v>
      </c>
      <c r="CH15" s="212">
        <f>食事申込書!$I$24</f>
        <v>0</v>
      </c>
      <c r="CI15" s="213" t="str">
        <f>IF($BZ15="","",食事申込書!$I$25&amp;食事申込書!$L$25)</f>
        <v/>
      </c>
      <c r="CJ15" s="214">
        <f>食事申込書!$I$26</f>
        <v>0</v>
      </c>
      <c r="CK15" s="212">
        <f>食事申込書!$I$27</f>
        <v>0</v>
      </c>
      <c r="CL15" s="213" t="str">
        <f>IF($BZ15="","",食事申込書!$I$28&amp;食事申込書!$L$28)</f>
        <v/>
      </c>
      <c r="CM15" s="212">
        <f>IF($BZ15="","",食事申込書!$I$14)</f>
        <v>0</v>
      </c>
      <c r="CN15" s="212">
        <f>食事申込書!$I$15</f>
        <v>0</v>
      </c>
      <c r="CO15" s="212">
        <f>食事申込書!$I$16</f>
        <v>0</v>
      </c>
      <c r="CP15" s="212" t="str">
        <f>食事申込書!$CE$15&amp;食事申込書!CE16</f>
        <v/>
      </c>
      <c r="CQ15" s="212" t="str">
        <f>食事申込書!$CE$17&amp;食事申込書!$CE$18&amp;食事申込書!$CE$19&amp;食事申込書!$CE$20</f>
        <v/>
      </c>
      <c r="CR15" s="212"/>
      <c r="CS15" s="212" t="str">
        <f>食事申込書!$CE$21</f>
        <v/>
      </c>
      <c r="CT15" s="212"/>
      <c r="CU15" s="212"/>
      <c r="CV15" s="212"/>
      <c r="CW15" s="212"/>
      <c r="CX15" s="212"/>
      <c r="CY15" s="212"/>
      <c r="CZ15" s="212"/>
      <c r="DA15" s="212"/>
      <c r="DB15" s="212"/>
      <c r="DC15" s="212"/>
    </row>
    <row r="16" spans="1:107" ht="24.75" customHeight="1">
      <c r="A16" s="26" t="s">
        <v>115</v>
      </c>
      <c r="B16" s="23" t="s">
        <v>61</v>
      </c>
      <c r="C16" s="150"/>
      <c r="D16" s="792"/>
      <c r="E16" s="793"/>
      <c r="F16" s="870"/>
      <c r="G16" s="821"/>
      <c r="H16" s="821"/>
      <c r="I16" s="871"/>
      <c r="J16" s="821"/>
      <c r="K16" s="821"/>
      <c r="L16" s="821"/>
      <c r="M16" s="821"/>
      <c r="N16" s="821"/>
      <c r="O16" s="822"/>
      <c r="P16" s="165" t="s">
        <v>115</v>
      </c>
      <c r="Q16" s="23" t="s">
        <v>61</v>
      </c>
      <c r="R16" s="173"/>
      <c r="S16" s="792"/>
      <c r="T16" s="793"/>
      <c r="U16" s="823"/>
      <c r="V16" s="823"/>
      <c r="W16" s="823"/>
      <c r="X16" s="823"/>
      <c r="Y16" s="821"/>
      <c r="Z16" s="821"/>
      <c r="AA16" s="821"/>
      <c r="AB16" s="821"/>
      <c r="AC16" s="821"/>
      <c r="AD16" s="822"/>
      <c r="AE16" s="26" t="s">
        <v>115</v>
      </c>
      <c r="AF16" s="23" t="s">
        <v>61</v>
      </c>
      <c r="AG16" s="150"/>
      <c r="AH16" s="807"/>
      <c r="AI16" s="808"/>
      <c r="AJ16" s="823"/>
      <c r="AK16" s="823"/>
      <c r="AL16" s="823"/>
      <c r="AM16" s="823"/>
      <c r="AN16" s="821"/>
      <c r="AO16" s="821"/>
      <c r="AP16" s="821"/>
      <c r="AQ16" s="821"/>
      <c r="AR16" s="821"/>
      <c r="AS16" s="822"/>
      <c r="AT16" s="26" t="s">
        <v>115</v>
      </c>
      <c r="AU16" s="23" t="s">
        <v>61</v>
      </c>
      <c r="AV16" s="150"/>
      <c r="AW16" s="807"/>
      <c r="AX16" s="808"/>
      <c r="AY16" s="823"/>
      <c r="AZ16" s="823"/>
      <c r="BA16" s="823"/>
      <c r="BB16" s="823"/>
      <c r="BC16" s="821"/>
      <c r="BD16" s="821"/>
      <c r="BE16" s="821"/>
      <c r="BF16" s="821"/>
      <c r="BG16" s="821"/>
      <c r="BH16" s="822"/>
      <c r="BI16" s="26" t="s">
        <v>115</v>
      </c>
      <c r="BJ16" s="23" t="s">
        <v>61</v>
      </c>
      <c r="BK16" s="150"/>
      <c r="BL16" s="807"/>
      <c r="BM16" s="808"/>
      <c r="BN16" s="823"/>
      <c r="BO16" s="823"/>
      <c r="BP16" s="823"/>
      <c r="BQ16" s="823"/>
      <c r="BR16" s="821"/>
      <c r="BS16" s="821"/>
      <c r="BT16" s="821"/>
      <c r="BU16" s="821"/>
      <c r="BV16" s="821"/>
      <c r="BW16" s="822"/>
      <c r="BZ16" s="212" t="str">
        <f>食事申込書!O10</f>
        <v/>
      </c>
      <c r="CA16" s="214">
        <f>IF($BZ15="","",食事申込書!$O$17)</f>
        <v>0</v>
      </c>
      <c r="CB16" s="212">
        <f>IF($BZ15="","",食事申込書!$O$18)</f>
        <v>0</v>
      </c>
      <c r="CC16" s="213" t="str">
        <f>IF($BZ16="","",食事申込書!$O$19&amp;食事申込書!$R$19)</f>
        <v/>
      </c>
      <c r="CD16" s="214" t="str">
        <f>IF($BZ16="","",食事申込書!$O$20)</f>
        <v/>
      </c>
      <c r="CE16" s="212" t="str">
        <f>IF($BZ16="","",食事申込書!$O$21)</f>
        <v/>
      </c>
      <c r="CF16" s="213" t="str">
        <f>IF($BZ16="","",食事申込書!$O$22&amp;食事申込書!$R$22)</f>
        <v/>
      </c>
      <c r="CG16" s="215">
        <f>食事申込書!$O$23</f>
        <v>0</v>
      </c>
      <c r="CH16" s="212">
        <f>食事申込書!$O$24</f>
        <v>0</v>
      </c>
      <c r="CI16" s="213" t="str">
        <f>IF($BZ16="","",食事申込書!$O$25&amp;食事申込書!$R$25)</f>
        <v/>
      </c>
      <c r="CJ16" s="214">
        <f>食事申込書!$O$26</f>
        <v>0</v>
      </c>
      <c r="CK16" s="212">
        <f>食事申込書!$O$27</f>
        <v>0</v>
      </c>
      <c r="CL16" s="213" t="str">
        <f>IF($BZ16="","",食事申込書!$O$28&amp;食事申込書!$R$28)</f>
        <v/>
      </c>
      <c r="CM16" s="212">
        <f>IF($BZ15="","",食事申込書!$O$14)</f>
        <v>0</v>
      </c>
      <c r="CN16" s="212">
        <f>食事申込書!$O$15</f>
        <v>0</v>
      </c>
      <c r="CO16" s="212">
        <f>食事申込書!$O$16</f>
        <v>0</v>
      </c>
      <c r="CP16" s="212" t="str">
        <f>食事申込書!$CF$15&amp;食事申込書!CF16</f>
        <v/>
      </c>
      <c r="CQ16" s="212" t="str">
        <f>食事申込書!$CF$17&amp;食事申込書!$CF$18&amp;食事申込書!$CF$19&amp;食事申込書!$CF$20</f>
        <v/>
      </c>
      <c r="CR16" s="212"/>
      <c r="CS16" s="212" t="str">
        <f>食事申込書!$CF$21</f>
        <v/>
      </c>
      <c r="CT16" s="212"/>
      <c r="CU16" s="212"/>
      <c r="CV16" s="212"/>
      <c r="CW16" s="212"/>
      <c r="CX16" s="212"/>
      <c r="CY16" s="212"/>
      <c r="CZ16" s="212"/>
      <c r="DA16" s="212"/>
      <c r="DB16" s="212"/>
      <c r="DC16" s="212"/>
    </row>
    <row r="17" spans="1:107" ht="33.75" customHeight="1">
      <c r="A17" s="785" t="s">
        <v>55</v>
      </c>
      <c r="B17" s="812" t="s">
        <v>333</v>
      </c>
      <c r="C17" s="813"/>
      <c r="D17" s="813"/>
      <c r="E17" s="814"/>
      <c r="F17" s="243" t="s">
        <v>329</v>
      </c>
      <c r="G17" s="803" t="s">
        <v>330</v>
      </c>
      <c r="H17" s="803"/>
      <c r="I17" s="803"/>
      <c r="J17" s="804" t="s">
        <v>328</v>
      </c>
      <c r="K17" s="804"/>
      <c r="L17" s="804"/>
      <c r="M17" s="805" t="s">
        <v>331</v>
      </c>
      <c r="N17" s="805"/>
      <c r="O17" s="806"/>
      <c r="P17" s="794"/>
      <c r="Q17" s="795"/>
      <c r="R17" s="795"/>
      <c r="S17" s="795"/>
      <c r="T17" s="795"/>
      <c r="U17" s="795"/>
      <c r="V17" s="795"/>
      <c r="W17" s="795"/>
      <c r="X17" s="795"/>
      <c r="Y17" s="795"/>
      <c r="Z17" s="795"/>
      <c r="AA17" s="795"/>
      <c r="AB17" s="795"/>
      <c r="AC17" s="795"/>
      <c r="AD17" s="796"/>
      <c r="AE17" s="785" t="s">
        <v>55</v>
      </c>
      <c r="AF17" s="812" t="s">
        <v>333</v>
      </c>
      <c r="AG17" s="813"/>
      <c r="AH17" s="813"/>
      <c r="AI17" s="814"/>
      <c r="AJ17" s="243" t="s">
        <v>329</v>
      </c>
      <c r="AK17" s="803" t="s">
        <v>330</v>
      </c>
      <c r="AL17" s="803"/>
      <c r="AM17" s="803"/>
      <c r="AN17" s="804" t="s">
        <v>328</v>
      </c>
      <c r="AO17" s="804"/>
      <c r="AP17" s="804"/>
      <c r="AQ17" s="805" t="s">
        <v>331</v>
      </c>
      <c r="AR17" s="805"/>
      <c r="AS17" s="806"/>
      <c r="AT17" s="785" t="s">
        <v>55</v>
      </c>
      <c r="AU17" s="812" t="s">
        <v>333</v>
      </c>
      <c r="AV17" s="813"/>
      <c r="AW17" s="813"/>
      <c r="AX17" s="814"/>
      <c r="AY17" s="243" t="s">
        <v>329</v>
      </c>
      <c r="AZ17" s="803" t="s">
        <v>330</v>
      </c>
      <c r="BA17" s="803"/>
      <c r="BB17" s="803"/>
      <c r="BC17" s="804" t="s">
        <v>328</v>
      </c>
      <c r="BD17" s="804"/>
      <c r="BE17" s="804"/>
      <c r="BF17" s="805" t="s">
        <v>331</v>
      </c>
      <c r="BG17" s="805"/>
      <c r="BH17" s="806"/>
      <c r="BI17" s="785" t="s">
        <v>55</v>
      </c>
      <c r="BJ17" s="812" t="s">
        <v>333</v>
      </c>
      <c r="BK17" s="813"/>
      <c r="BL17" s="813"/>
      <c r="BM17" s="814"/>
      <c r="BN17" s="243" t="s">
        <v>329</v>
      </c>
      <c r="BO17" s="803" t="s">
        <v>330</v>
      </c>
      <c r="BP17" s="803"/>
      <c r="BQ17" s="803"/>
      <c r="BR17" s="804" t="s">
        <v>328</v>
      </c>
      <c r="BS17" s="804"/>
      <c r="BT17" s="804"/>
      <c r="BU17" s="805" t="s">
        <v>331</v>
      </c>
      <c r="BV17" s="805"/>
      <c r="BW17" s="806"/>
      <c r="BZ17" s="212" t="str">
        <f>食事申込書!U10</f>
        <v/>
      </c>
      <c r="CA17" s="214">
        <f>IF($BZ15="","",食事申込書!$U$17)</f>
        <v>0</v>
      </c>
      <c r="CB17" s="212">
        <f>IF($BZ15="","",食事申込書!$U$18)</f>
        <v>0</v>
      </c>
      <c r="CC17" s="213" t="str">
        <f>IF($BZ17="","",食事申込書!$U$19&amp;食事申込書!$X$19)</f>
        <v/>
      </c>
      <c r="CD17" s="214" t="str">
        <f>IF($BZ17="","",食事申込書!$U$20)</f>
        <v/>
      </c>
      <c r="CE17" s="212" t="str">
        <f>IF($BZ17="","",食事申込書!$U$21)</f>
        <v/>
      </c>
      <c r="CF17" s="213" t="str">
        <f>IF($BZ17="","",食事申込書!$U$22&amp;食事申込書!$X$22)</f>
        <v/>
      </c>
      <c r="CG17" s="215">
        <f>食事申込書!$U$23</f>
        <v>0</v>
      </c>
      <c r="CH17" s="212">
        <f>食事申込書!$U$24</f>
        <v>0</v>
      </c>
      <c r="CI17" s="213" t="str">
        <f>IF($BZ17="","",食事申込書!$U$25&amp;食事申込書!$X$25)</f>
        <v/>
      </c>
      <c r="CJ17" s="214">
        <f>食事申込書!$U$26</f>
        <v>0</v>
      </c>
      <c r="CK17" s="212">
        <f>食事申込書!$U$27</f>
        <v>0</v>
      </c>
      <c r="CL17" s="213" t="str">
        <f>IF($BZ17="","",食事申込書!$U$28&amp;食事申込書!$X$28)</f>
        <v/>
      </c>
      <c r="CM17" s="212">
        <f>IF($BZ15="","",食事申込書!$U$14)</f>
        <v>0</v>
      </c>
      <c r="CN17" s="212">
        <f>食事申込書!$U$15</f>
        <v>0</v>
      </c>
      <c r="CO17" s="212">
        <f>食事申込書!$U$16</f>
        <v>0</v>
      </c>
      <c r="CP17" s="212" t="str">
        <f>食事申込書!$CG$15&amp;食事申込書!$CG$16</f>
        <v/>
      </c>
      <c r="CQ17" s="212" t="str">
        <f>食事申込書!$CG$17&amp;食事申込書!$CG$18&amp;食事申込書!$CG$19&amp;食事申込書!$CG$20</f>
        <v/>
      </c>
      <c r="CR17" s="212"/>
      <c r="CS17" s="212" t="str">
        <f>食事申込書!$CG$21</f>
        <v/>
      </c>
      <c r="CT17" s="212"/>
      <c r="CU17" s="212"/>
      <c r="CV17" s="212"/>
      <c r="CW17" s="212"/>
      <c r="CX17" s="212"/>
      <c r="CY17" s="212"/>
      <c r="CZ17" s="212"/>
      <c r="DA17" s="212"/>
      <c r="DB17" s="212"/>
      <c r="DC17" s="212"/>
    </row>
    <row r="18" spans="1:107" ht="24.75" customHeight="1">
      <c r="A18" s="786"/>
      <c r="B18" s="23" t="s">
        <v>332</v>
      </c>
      <c r="C18" s="244"/>
      <c r="D18" s="792" t="s">
        <v>326</v>
      </c>
      <c r="E18" s="793"/>
      <c r="F18" s="303" t="b">
        <v>0</v>
      </c>
      <c r="G18" s="788" t="b">
        <v>0</v>
      </c>
      <c r="H18" s="789"/>
      <c r="I18" s="790"/>
      <c r="J18" s="788" t="b">
        <v>0</v>
      </c>
      <c r="K18" s="789"/>
      <c r="L18" s="790"/>
      <c r="M18" s="789" t="b">
        <v>0</v>
      </c>
      <c r="N18" s="789"/>
      <c r="O18" s="791"/>
      <c r="P18" s="797"/>
      <c r="Q18" s="798"/>
      <c r="R18" s="798"/>
      <c r="S18" s="798"/>
      <c r="T18" s="798"/>
      <c r="U18" s="798"/>
      <c r="V18" s="798"/>
      <c r="W18" s="798"/>
      <c r="X18" s="798"/>
      <c r="Y18" s="798"/>
      <c r="Z18" s="798"/>
      <c r="AA18" s="798"/>
      <c r="AB18" s="798"/>
      <c r="AC18" s="798"/>
      <c r="AD18" s="799"/>
      <c r="AE18" s="786"/>
      <c r="AF18" s="23" t="s">
        <v>332</v>
      </c>
      <c r="AG18" s="244"/>
      <c r="AH18" s="792" t="s">
        <v>326</v>
      </c>
      <c r="AI18" s="793"/>
      <c r="AJ18" s="303" t="b">
        <v>0</v>
      </c>
      <c r="AK18" s="788" t="b">
        <v>0</v>
      </c>
      <c r="AL18" s="789"/>
      <c r="AM18" s="790" t="b">
        <v>1</v>
      </c>
      <c r="AN18" s="788" t="b">
        <v>0</v>
      </c>
      <c r="AO18" s="789"/>
      <c r="AP18" s="790"/>
      <c r="AQ18" s="789" t="b">
        <v>0</v>
      </c>
      <c r="AR18" s="789"/>
      <c r="AS18" s="791"/>
      <c r="AT18" s="786"/>
      <c r="AU18" s="23" t="s">
        <v>332</v>
      </c>
      <c r="AV18" s="244"/>
      <c r="AW18" s="792" t="s">
        <v>326</v>
      </c>
      <c r="AX18" s="793"/>
      <c r="AY18" s="303" t="b">
        <v>0</v>
      </c>
      <c r="AZ18" s="788" t="b">
        <v>0</v>
      </c>
      <c r="BA18" s="789"/>
      <c r="BB18" s="790" t="b">
        <v>1</v>
      </c>
      <c r="BC18" s="788" t="b">
        <v>0</v>
      </c>
      <c r="BD18" s="789"/>
      <c r="BE18" s="790"/>
      <c r="BF18" s="789" t="b">
        <v>0</v>
      </c>
      <c r="BG18" s="789"/>
      <c r="BH18" s="791"/>
      <c r="BI18" s="786"/>
      <c r="BJ18" s="23" t="s">
        <v>332</v>
      </c>
      <c r="BK18" s="244"/>
      <c r="BL18" s="792" t="s">
        <v>326</v>
      </c>
      <c r="BM18" s="793"/>
      <c r="BN18" s="303" t="b">
        <v>0</v>
      </c>
      <c r="BO18" s="788" t="b">
        <v>0</v>
      </c>
      <c r="BP18" s="789"/>
      <c r="BQ18" s="790" t="b">
        <v>1</v>
      </c>
      <c r="BR18" s="788" t="b">
        <v>0</v>
      </c>
      <c r="BS18" s="789"/>
      <c r="BT18" s="790"/>
      <c r="BU18" s="789" t="b">
        <v>0</v>
      </c>
      <c r="BV18" s="789"/>
      <c r="BW18" s="791"/>
      <c r="BZ18" s="212" t="str">
        <f>食事申込書!AA10</f>
        <v/>
      </c>
      <c r="CA18" s="214">
        <f>IF($BZ15="","",食事申込書!$AA$17)</f>
        <v>0</v>
      </c>
      <c r="CB18" s="212">
        <f>IF($BZ15="","",食事申込書!$AA$18)</f>
        <v>0</v>
      </c>
      <c r="CC18" s="213" t="str">
        <f>IF($BZ18="","",食事申込書!$AA$19&amp;食事申込書!$AD$19)</f>
        <v/>
      </c>
      <c r="CD18" s="214" t="str">
        <f>IF($BZ18="","",食事申込書!$AA$20)</f>
        <v/>
      </c>
      <c r="CE18" s="212" t="str">
        <f>IF($BZ18="","",食事申込書!$AA$21)</f>
        <v/>
      </c>
      <c r="CF18" s="213" t="str">
        <f>IF($BZ18="","",食事申込書!$AA$22&amp;食事申込書!$AD$22)</f>
        <v/>
      </c>
      <c r="CG18" s="215">
        <f>食事申込書!$AA$23</f>
        <v>0</v>
      </c>
      <c r="CH18" s="212">
        <f>食事申込書!$AA$24</f>
        <v>0</v>
      </c>
      <c r="CI18" s="213" t="str">
        <f>IF($BZ18="","",食事申込書!$AA$25&amp;食事申込書!$AD$25)</f>
        <v/>
      </c>
      <c r="CJ18" s="214">
        <f>食事申込書!$AA$26</f>
        <v>0</v>
      </c>
      <c r="CK18" s="212">
        <f>食事申込書!$AA$27</f>
        <v>0</v>
      </c>
      <c r="CL18" s="213" t="str">
        <f>IF($BZ18="","",食事申込書!$AA$28&amp;食事申込書!$AD$28)</f>
        <v/>
      </c>
      <c r="CM18" s="212">
        <f>IF($BZ15="","",食事申込書!$AA$14)</f>
        <v>0</v>
      </c>
      <c r="CN18" s="212">
        <f>食事申込書!$AA$15</f>
        <v>0</v>
      </c>
      <c r="CO18" s="212">
        <f>食事申込書!$AA$16</f>
        <v>0</v>
      </c>
      <c r="CP18" s="212" t="str">
        <f>食事申込書!$CH$15&amp;食事申込書!$CH$16</f>
        <v/>
      </c>
      <c r="CQ18" s="212" t="str">
        <f>食事申込書!$CH$17&amp;食事申込書!$CH$18&amp;食事申込書!$CH$19&amp;食事申込書!$CH$20</f>
        <v/>
      </c>
      <c r="CR18" s="212"/>
      <c r="CS18" s="212" t="str">
        <f>食事申込書!CH21</f>
        <v/>
      </c>
      <c r="CT18" s="212"/>
      <c r="CU18" s="212"/>
      <c r="CV18" s="212"/>
      <c r="CW18" s="212"/>
      <c r="CX18" s="212"/>
      <c r="CY18" s="212"/>
      <c r="CZ18" s="212"/>
      <c r="DA18" s="212"/>
      <c r="DB18" s="212"/>
      <c r="DC18" s="212"/>
    </row>
    <row r="19" spans="1:107" ht="24.75" customHeight="1">
      <c r="A19" s="787"/>
      <c r="B19" s="23" t="s">
        <v>325</v>
      </c>
      <c r="C19" s="244"/>
      <c r="D19" s="792" t="s">
        <v>327</v>
      </c>
      <c r="E19" s="793"/>
      <c r="F19" s="303" t="b">
        <v>0</v>
      </c>
      <c r="G19" s="788" t="b">
        <v>0</v>
      </c>
      <c r="H19" s="789"/>
      <c r="I19" s="790"/>
      <c r="J19" s="788" t="b">
        <v>0</v>
      </c>
      <c r="K19" s="789"/>
      <c r="L19" s="790"/>
      <c r="M19" s="788" t="b">
        <v>0</v>
      </c>
      <c r="N19" s="789"/>
      <c r="O19" s="791"/>
      <c r="P19" s="800"/>
      <c r="Q19" s="801"/>
      <c r="R19" s="801"/>
      <c r="S19" s="801"/>
      <c r="T19" s="801"/>
      <c r="U19" s="801"/>
      <c r="V19" s="801"/>
      <c r="W19" s="801"/>
      <c r="X19" s="801"/>
      <c r="Y19" s="801"/>
      <c r="Z19" s="801"/>
      <c r="AA19" s="801"/>
      <c r="AB19" s="801"/>
      <c r="AC19" s="801"/>
      <c r="AD19" s="802"/>
      <c r="AE19" s="787"/>
      <c r="AF19" s="23" t="s">
        <v>325</v>
      </c>
      <c r="AG19" s="244"/>
      <c r="AH19" s="792" t="s">
        <v>327</v>
      </c>
      <c r="AI19" s="793"/>
      <c r="AJ19" s="303" t="b">
        <v>0</v>
      </c>
      <c r="AK19" s="788" t="b">
        <v>0</v>
      </c>
      <c r="AL19" s="789"/>
      <c r="AM19" s="790"/>
      <c r="AN19" s="788" t="b">
        <v>0</v>
      </c>
      <c r="AO19" s="789"/>
      <c r="AP19" s="790"/>
      <c r="AQ19" s="788" t="b">
        <v>0</v>
      </c>
      <c r="AR19" s="789"/>
      <c r="AS19" s="791"/>
      <c r="AT19" s="787"/>
      <c r="AU19" s="23" t="s">
        <v>325</v>
      </c>
      <c r="AV19" s="244"/>
      <c r="AW19" s="792" t="s">
        <v>327</v>
      </c>
      <c r="AX19" s="793"/>
      <c r="AY19" s="303" t="b">
        <v>0</v>
      </c>
      <c r="AZ19" s="788" t="b">
        <v>0</v>
      </c>
      <c r="BA19" s="789"/>
      <c r="BB19" s="790"/>
      <c r="BC19" s="788" t="b">
        <v>0</v>
      </c>
      <c r="BD19" s="789"/>
      <c r="BE19" s="790"/>
      <c r="BF19" s="788" t="b">
        <v>0</v>
      </c>
      <c r="BG19" s="789"/>
      <c r="BH19" s="791"/>
      <c r="BI19" s="787"/>
      <c r="BJ19" s="23" t="s">
        <v>325</v>
      </c>
      <c r="BK19" s="244"/>
      <c r="BL19" s="792" t="s">
        <v>327</v>
      </c>
      <c r="BM19" s="793"/>
      <c r="BN19" s="303" t="b">
        <v>0</v>
      </c>
      <c r="BO19" s="788" t="b">
        <v>0</v>
      </c>
      <c r="BP19" s="789"/>
      <c r="BQ19" s="790"/>
      <c r="BR19" s="788" t="b">
        <v>0</v>
      </c>
      <c r="BS19" s="789"/>
      <c r="BT19" s="790"/>
      <c r="BU19" s="788" t="b">
        <v>0</v>
      </c>
      <c r="BV19" s="789"/>
      <c r="BW19" s="791"/>
      <c r="BZ19" s="212" t="str">
        <f>食事申込書!AG10</f>
        <v/>
      </c>
      <c r="CA19" s="214">
        <f>IF($BZ15="","",食事申込書!$AG$17)</f>
        <v>0</v>
      </c>
      <c r="CB19" s="212" t="str">
        <f>IF($BZ16="","",食事申込書!$AG$18)</f>
        <v/>
      </c>
      <c r="CC19" s="213" t="str">
        <f>IF($BZ19="","",食事申込書!$AG$19&amp;食事申込書!$AJ$19)</f>
        <v/>
      </c>
      <c r="CD19" s="214" t="str">
        <f>IF($BZ19="","",食事申込書!$AG$20)</f>
        <v/>
      </c>
      <c r="CE19" s="212" t="str">
        <f>IF($BZ19="","",食事申込書!$AG$21)</f>
        <v/>
      </c>
      <c r="CF19" s="213" t="str">
        <f>IF($BZ19="","",食事申込書!$AG$22&amp;食事申込書!$AJ$22)</f>
        <v/>
      </c>
      <c r="CG19" s="215">
        <f>食事申込書!$AG$23</f>
        <v>0</v>
      </c>
      <c r="CH19" s="212">
        <f>食事申込書!$AG$24</f>
        <v>0</v>
      </c>
      <c r="CI19" s="213" t="str">
        <f>IF($BZ19="","",食事申込書!$AG$25&amp;食事申込書!$AJ$25)</f>
        <v/>
      </c>
      <c r="CJ19" s="214">
        <f>食事申込書!$AG$26</f>
        <v>0</v>
      </c>
      <c r="CK19" s="212">
        <f>食事申込書!$AG$27</f>
        <v>0</v>
      </c>
      <c r="CL19" s="213" t="str">
        <f>IF($BZ19="","",食事申込書!$AG$28&amp;食事申込書!$AJ$28)</f>
        <v/>
      </c>
      <c r="CM19" s="212">
        <f>IF($BZ15="","",食事申込書!$AG$14)</f>
        <v>0</v>
      </c>
      <c r="CN19" s="212">
        <f>食事申込書!$AG$15</f>
        <v>0</v>
      </c>
      <c r="CO19" s="212">
        <f>食事申込書!$AG$16</f>
        <v>0</v>
      </c>
      <c r="CP19" s="212" t="str">
        <f>食事申込書!$CI$15&amp;食事申込書!$CI$16</f>
        <v/>
      </c>
      <c r="CQ19" s="212" t="str">
        <f>食事申込書!$CI$17&amp;食事申込書!$CI$18&amp;食事申込書!$CI$19&amp;食事申込書!$CI$20</f>
        <v/>
      </c>
      <c r="CR19" s="212"/>
      <c r="CS19" s="212" t="str">
        <f>食事申込書!$CI$21</f>
        <v/>
      </c>
      <c r="CT19" s="212"/>
      <c r="CU19" s="212"/>
      <c r="CV19" s="212"/>
      <c r="CW19" s="212"/>
      <c r="CX19" s="212"/>
      <c r="CY19" s="212"/>
      <c r="CZ19" s="212"/>
      <c r="DA19" s="212"/>
      <c r="DB19" s="212"/>
      <c r="DC19" s="212"/>
    </row>
    <row r="20" spans="1:107" ht="24.75" customHeight="1">
      <c r="A20" s="785" t="s">
        <v>294</v>
      </c>
      <c r="B20" s="23" t="s">
        <v>296</v>
      </c>
      <c r="C20" s="235">
        <f>IF(COUNTIF($BZ$15:$BZ$19,A$5)=0,"",_xlfn.XLOOKUP(A$5,$BZ$15:$BZ$19,$CA$15:$CA$19,"",0,1))</f>
        <v>0</v>
      </c>
      <c r="D20" s="236">
        <f>IF(COUNTIF($BZ$15:$BZ$19,A$5)=0,"",_xlfn.XLOOKUP(A$5,$BZ$15:$BZ$19,$CB$15:$CB$19,"",0,1))</f>
        <v>0</v>
      </c>
      <c r="E20" s="25" t="s">
        <v>18</v>
      </c>
      <c r="F20" s="23" t="s">
        <v>57</v>
      </c>
      <c r="G20" s="779" t="str">
        <f>IF(COUNTIF($BZ$15:$BZ$19,A$5)=0,"",_xlfn.XLOOKUP(A$5,$BZ$15:$BZ$19,$CC$15:$CC$19,"",0,1))</f>
        <v/>
      </c>
      <c r="H20" s="780"/>
      <c r="I20" s="780"/>
      <c r="J20" s="780"/>
      <c r="K20" s="780"/>
      <c r="L20" s="780"/>
      <c r="M20" s="780"/>
      <c r="N20" s="780"/>
      <c r="O20" s="781"/>
      <c r="P20" s="808" t="s">
        <v>294</v>
      </c>
      <c r="Q20" s="23" t="s">
        <v>296</v>
      </c>
      <c r="R20" s="235" t="str">
        <f>IF(COUNTIF($BZ$15:$BZ$19,P$5)=0,"",_xlfn.XLOOKUP(P$5,$BZ$15:$BZ$19,$CA$15:$CA$19,"",0,1))</f>
        <v/>
      </c>
      <c r="S20" s="236" t="str">
        <f>IF(COUNTIF($BZ$15:$BZ$19,P$5)=0,"",_xlfn.XLOOKUP(P$5,$BZ$15:$BZ$19,$CB$15:$CB$19,"",0,1))</f>
        <v/>
      </c>
      <c r="T20" s="25" t="s">
        <v>18</v>
      </c>
      <c r="U20" s="23" t="s">
        <v>57</v>
      </c>
      <c r="V20" s="779" t="str">
        <f>IF(COUNTIF($BZ$15:$BZ$19,P$5)=0,"",_xlfn.XLOOKUP(P$5,$BZ$15:$BZ$19,$CC$15:$CC$19,"",0,1))</f>
        <v/>
      </c>
      <c r="W20" s="780"/>
      <c r="X20" s="780"/>
      <c r="Y20" s="780"/>
      <c r="Z20" s="780"/>
      <c r="AA20" s="780"/>
      <c r="AB20" s="780"/>
      <c r="AC20" s="780"/>
      <c r="AD20" s="781"/>
      <c r="AE20" s="785" t="s">
        <v>294</v>
      </c>
      <c r="AF20" s="23" t="s">
        <v>296</v>
      </c>
      <c r="AG20" s="235" t="str">
        <f>IF(COUNTIF($BZ$15:$BZ$19,AE$5)=0,"",_xlfn.XLOOKUP(AE$5,$BZ$15:$BZ$19,$CA$15:$CA$19,"",0,1))</f>
        <v/>
      </c>
      <c r="AH20" s="236" t="str">
        <f>IF(COUNTIF($BZ$15:$BZ$19,AE$5)=0,"",_xlfn.XLOOKUP(AE$5,$BZ$15:$BZ$19,$CB$15:$CB$19,"",0,1))</f>
        <v/>
      </c>
      <c r="AI20" s="25" t="s">
        <v>18</v>
      </c>
      <c r="AJ20" s="23" t="s">
        <v>57</v>
      </c>
      <c r="AK20" s="779" t="str">
        <f>IF(COUNTIF($BZ$15:$BZ$19,AE$5)=0,"",_xlfn.XLOOKUP(AE$5,$BZ$15:$BZ$19,$CC$15:$CC$19,"",0,1))</f>
        <v/>
      </c>
      <c r="AL20" s="780"/>
      <c r="AM20" s="780"/>
      <c r="AN20" s="780"/>
      <c r="AO20" s="780"/>
      <c r="AP20" s="780"/>
      <c r="AQ20" s="780"/>
      <c r="AR20" s="780"/>
      <c r="AS20" s="781"/>
      <c r="AT20" s="785" t="s">
        <v>294</v>
      </c>
      <c r="AU20" s="23" t="s">
        <v>296</v>
      </c>
      <c r="AV20" s="235" t="str">
        <f>IF(COUNTIF($BZ$15:$BZ$19,AT$5)=0,"",_xlfn.XLOOKUP(AT$5,$BZ$15:$BZ$19,$CA$15:$CA$19,"",0,1))</f>
        <v/>
      </c>
      <c r="AW20" s="236" t="str">
        <f>IF(COUNTIF($BZ$15:$BZ$19,AT$5)=0,"",_xlfn.XLOOKUP(AT$5,$BZ$15:$BZ$19,$CB$15:$CB$19,"",0,1))</f>
        <v/>
      </c>
      <c r="AX20" s="25" t="s">
        <v>18</v>
      </c>
      <c r="AY20" s="23" t="s">
        <v>57</v>
      </c>
      <c r="AZ20" s="779" t="str">
        <f>IF(COUNTIF($BZ$15:$BZ$19,AT$5)=0,"",_xlfn.XLOOKUP(AT$5,$BZ$15:$BZ$19,$CC$15:$CC$19,"",0,1))</f>
        <v/>
      </c>
      <c r="BA20" s="780"/>
      <c r="BB20" s="780"/>
      <c r="BC20" s="780"/>
      <c r="BD20" s="780"/>
      <c r="BE20" s="780"/>
      <c r="BF20" s="780"/>
      <c r="BG20" s="780"/>
      <c r="BH20" s="781"/>
      <c r="BI20" s="785" t="s">
        <v>294</v>
      </c>
      <c r="BJ20" s="23" t="s">
        <v>296</v>
      </c>
      <c r="BK20" s="235" t="str">
        <f>IF(COUNTIF($BZ$15:$BZ$19,BI$5)=0,"",_xlfn.XLOOKUP(BI$5,$BZ$15:$BZ$19,$CA$15:$CA$19,"",0,1))</f>
        <v/>
      </c>
      <c r="BL20" s="236" t="str">
        <f>IF(COUNTIF($BZ$15:$BZ$19,BI$5)=0,"",_xlfn.XLOOKUP(BI$5,$BZ$15:$BZ$19,$CB$15:$CB$19,"",0,1))</f>
        <v/>
      </c>
      <c r="BM20" s="25" t="s">
        <v>18</v>
      </c>
      <c r="BN20" s="23" t="s">
        <v>57</v>
      </c>
      <c r="BO20" s="779" t="str">
        <f>IF(COUNTIF($BZ$15:$BZ$19,BI$5)=0,"",_xlfn.XLOOKUP(BI$5,$BZ$15:$BZ$19,$CC$15:$CC$19,"",0,1))</f>
        <v/>
      </c>
      <c r="BP20" s="780"/>
      <c r="BQ20" s="780"/>
      <c r="BR20" s="780"/>
      <c r="BS20" s="780"/>
      <c r="BT20" s="780"/>
      <c r="BU20" s="780"/>
      <c r="BV20" s="780"/>
      <c r="BW20" s="781"/>
    </row>
    <row r="21" spans="1:107" ht="24.75" customHeight="1">
      <c r="A21" s="786"/>
      <c r="B21" s="23" t="s">
        <v>372</v>
      </c>
      <c r="C21" s="235">
        <f>IF(COUNTIF($BZ$15:$BZ$19,A$5)=0,"",_xlfn.XLOOKUP(A$5,$BZ$15:$BZ$19,$CD$15:$CD$19,"",0,1))</f>
        <v>0</v>
      </c>
      <c r="D21" s="236">
        <f>IF(COUNTIF($BZ$15:$BZ$19,A$5)=0,"",_xlfn.XLOOKUP(A$5,$BZ$15:$BZ$19,$CE$15:$CE$19,"",0,1))</f>
        <v>0</v>
      </c>
      <c r="E21" s="25" t="s">
        <v>18</v>
      </c>
      <c r="F21" s="23" t="s">
        <v>57</v>
      </c>
      <c r="G21" s="779" t="str">
        <f>IF(COUNTIF($BZ$15:$BZ$19,A$5)=0,"",_xlfn.XLOOKUP(A$5,$BZ$15:$BZ$19,$CF$15:$CF$19,"",0,1))</f>
        <v/>
      </c>
      <c r="H21" s="780"/>
      <c r="I21" s="780"/>
      <c r="J21" s="780"/>
      <c r="K21" s="780"/>
      <c r="L21" s="780"/>
      <c r="M21" s="780"/>
      <c r="N21" s="780"/>
      <c r="O21" s="781"/>
      <c r="P21" s="845"/>
      <c r="Q21" s="23" t="s">
        <v>372</v>
      </c>
      <c r="R21" s="235" t="str">
        <f>IF(COUNTIF($BZ$15:$BZ$19,P$5)=0,"",_xlfn.XLOOKUP(P$5,$BZ$15:$BZ$19,$CD$15:$CD$19,"",0,1))</f>
        <v/>
      </c>
      <c r="S21" s="236" t="str">
        <f>IF(COUNTIF($BZ$15:$BZ$19,P$5)=0,"",_xlfn.XLOOKUP(P$5,$BZ$15:$BZ$19,$CE$15:$CE$19,"",0,1))</f>
        <v/>
      </c>
      <c r="T21" s="25" t="s">
        <v>18</v>
      </c>
      <c r="U21" s="23" t="s">
        <v>57</v>
      </c>
      <c r="V21" s="779" t="str">
        <f>IF(COUNTIF($BZ$15:$BZ$19,P$5)=0,"",_xlfn.XLOOKUP(P$5,$BZ$15:$BZ$19,$CF$15:$CF$19,"",0,1))</f>
        <v/>
      </c>
      <c r="W21" s="780"/>
      <c r="X21" s="780"/>
      <c r="Y21" s="780"/>
      <c r="Z21" s="780"/>
      <c r="AA21" s="780"/>
      <c r="AB21" s="780"/>
      <c r="AC21" s="780"/>
      <c r="AD21" s="781"/>
      <c r="AE21" s="786"/>
      <c r="AF21" s="23" t="s">
        <v>372</v>
      </c>
      <c r="AG21" s="235" t="str">
        <f>IF(COUNTIF($BZ$15:$BZ$19,AE$5)=0,"",_xlfn.XLOOKUP(AE$5,$BZ$15:$BZ$19,$CD$15:$CD$19,"",0,1))</f>
        <v/>
      </c>
      <c r="AH21" s="236" t="str">
        <f>IF(COUNTIF($BZ$15:$BZ$19,AE$5)=0,"",_xlfn.XLOOKUP(AE$5,$BZ$15:$BZ$19,$CE$15:$CE$19,"",0,1))</f>
        <v/>
      </c>
      <c r="AI21" s="25" t="s">
        <v>18</v>
      </c>
      <c r="AJ21" s="23" t="s">
        <v>57</v>
      </c>
      <c r="AK21" s="779" t="str">
        <f>IF(COUNTIF($BZ$15:$BZ$19,AE$5)=0,"",_xlfn.XLOOKUP(AE$5,$BZ$15:$BZ$19,$CF$15:$CF$19,"",0,1))</f>
        <v/>
      </c>
      <c r="AL21" s="780"/>
      <c r="AM21" s="780"/>
      <c r="AN21" s="780"/>
      <c r="AO21" s="780"/>
      <c r="AP21" s="780"/>
      <c r="AQ21" s="780"/>
      <c r="AR21" s="780"/>
      <c r="AS21" s="781"/>
      <c r="AT21" s="786"/>
      <c r="AU21" s="23" t="s">
        <v>372</v>
      </c>
      <c r="AV21" s="235" t="str">
        <f>IF(COUNTIF($BZ$15:$BZ$19,AT$5)=0,"",_xlfn.XLOOKUP(AT$5,$BZ$15:$BZ$19,$CD$15:$CD$19,"",0,1))</f>
        <v/>
      </c>
      <c r="AW21" s="236" t="str">
        <f>IF(COUNTIF($BZ$15:$BZ$19,AT$5)=0,"",_xlfn.XLOOKUP(AT$5,$BZ$15:$BZ$19,$CE$15:$CE$19,"",0,1))</f>
        <v/>
      </c>
      <c r="AX21" s="25" t="s">
        <v>18</v>
      </c>
      <c r="AY21" s="23" t="s">
        <v>57</v>
      </c>
      <c r="AZ21" s="779" t="str">
        <f>IF(COUNTIF($BZ$15:$BZ$19,AT$5)=0,"",_xlfn.XLOOKUP(AT$5,$BZ$15:$BZ$19,$CF$15:$CF$19,"",0,1))</f>
        <v/>
      </c>
      <c r="BA21" s="780"/>
      <c r="BB21" s="780"/>
      <c r="BC21" s="780"/>
      <c r="BD21" s="780"/>
      <c r="BE21" s="780"/>
      <c r="BF21" s="780"/>
      <c r="BG21" s="780"/>
      <c r="BH21" s="781"/>
      <c r="BI21" s="786"/>
      <c r="BJ21" s="23" t="s">
        <v>372</v>
      </c>
      <c r="BK21" s="235" t="str">
        <f>IF(COUNTIF($BZ$15:$BZ$19,BI$5)=0,"",_xlfn.XLOOKUP(BI$5,$BZ$15:$BZ$19,$CD$15:$CD$19,"",0,1))</f>
        <v/>
      </c>
      <c r="BL21" s="236" t="str">
        <f>IF(COUNTIF($BZ$15:$BZ$19,BI$5)=0,"",_xlfn.XLOOKUP(BI$5,$BZ$15:$BZ$19,$CE$15:$CE$19,"",0,1))</f>
        <v/>
      </c>
      <c r="BM21" s="25" t="s">
        <v>18</v>
      </c>
      <c r="BN21" s="23" t="s">
        <v>57</v>
      </c>
      <c r="BO21" s="779" t="str">
        <f>IF(COUNTIF($BZ$15:$BZ$19,BI$5)=0,"",_xlfn.XLOOKUP(BI$5,$BZ$15:$BZ$19,$CF$15:$CF$19,"",0,1))</f>
        <v/>
      </c>
      <c r="BP21" s="780"/>
      <c r="BQ21" s="780"/>
      <c r="BR21" s="780"/>
      <c r="BS21" s="780"/>
      <c r="BT21" s="780"/>
      <c r="BU21" s="780"/>
      <c r="BV21" s="780"/>
      <c r="BW21" s="781"/>
    </row>
    <row r="22" spans="1:107" ht="24.75" customHeight="1">
      <c r="A22" s="786"/>
      <c r="B22" s="23" t="s">
        <v>295</v>
      </c>
      <c r="C22" s="235">
        <f>IF(COUNTIF($BZ$15:$BZ$19,A$5)=0,"",_xlfn.XLOOKUP(A$5,$BZ$15:$BZ$19,$CG$15:$CG$19,"",0,1))</f>
        <v>0</v>
      </c>
      <c r="D22" s="236">
        <f>IF(COUNTIF($BZ$15:$BZ$19,A$5)=0,"",_xlfn.XLOOKUP(A$5,$BZ$15:$BZ$19,$CH$15:$CH$19,"",0,1))</f>
        <v>0</v>
      </c>
      <c r="E22" s="25" t="s">
        <v>18</v>
      </c>
      <c r="F22" s="23" t="s">
        <v>57</v>
      </c>
      <c r="G22" s="779" t="str">
        <f>IF(COUNTIF($BZ$15:$BZ$19,A$5)=0,"",_xlfn.XLOOKUP(A$5,$BZ$15:$BZ$19,$CI$15:$CI$19,"",0,1))</f>
        <v/>
      </c>
      <c r="H22" s="780"/>
      <c r="I22" s="780"/>
      <c r="J22" s="780"/>
      <c r="K22" s="780"/>
      <c r="L22" s="780"/>
      <c r="M22" s="780"/>
      <c r="N22" s="780"/>
      <c r="O22" s="781"/>
      <c r="P22" s="845"/>
      <c r="Q22" s="23" t="s">
        <v>295</v>
      </c>
      <c r="R22" s="235" t="str">
        <f>IF(COUNTIF($BZ$15:$BZ$19,P$5)=0,"",_xlfn.XLOOKUP(P$5,$BZ$15:$BZ$19,$CG$15:$CG$19,"",0,1))</f>
        <v/>
      </c>
      <c r="S22" s="236" t="str">
        <f>IF(COUNTIF($BZ$15:$BZ$19,P$5)=0,"",_xlfn.XLOOKUP(P$5,$BZ$15:$BZ$19,$CH$15:$CH$19,"",0,1))</f>
        <v/>
      </c>
      <c r="T22" s="25" t="s">
        <v>18</v>
      </c>
      <c r="U22" s="23" t="s">
        <v>57</v>
      </c>
      <c r="V22" s="779" t="str">
        <f>IF(COUNTIF($BZ$15:$BZ$19,P$5)=0,"",_xlfn.XLOOKUP(P$5,$BZ$15:$BZ$19,$CI$15:$CI$19,"",0,1))</f>
        <v/>
      </c>
      <c r="W22" s="780"/>
      <c r="X22" s="780"/>
      <c r="Y22" s="780"/>
      <c r="Z22" s="780"/>
      <c r="AA22" s="780"/>
      <c r="AB22" s="780"/>
      <c r="AC22" s="780"/>
      <c r="AD22" s="781"/>
      <c r="AE22" s="786"/>
      <c r="AF22" s="23" t="s">
        <v>295</v>
      </c>
      <c r="AG22" s="235" t="str">
        <f>IF(COUNTIF($BZ$15:$BZ$19,AE$5)=0,"",_xlfn.XLOOKUP(AE$5,$BZ$15:$BZ$19,$CG$15:$CG$19,"",0,1))</f>
        <v/>
      </c>
      <c r="AH22" s="236" t="str">
        <f>IF(COUNTIF($BZ$15:$BZ$19,AE$5)=0,"",_xlfn.XLOOKUP(AE$5,$BZ$15:$BZ$19,$CH$15:$CH$19,"",0,1))</f>
        <v/>
      </c>
      <c r="AI22" s="25" t="s">
        <v>18</v>
      </c>
      <c r="AJ22" s="23" t="s">
        <v>57</v>
      </c>
      <c r="AK22" s="779" t="str">
        <f>IF(COUNTIF($BZ$15:$BZ$19,AE$5)=0,"",_xlfn.XLOOKUP(AE$5,$BZ$15:$BZ$19,$CI$15:$CI$19,"",0,1))</f>
        <v/>
      </c>
      <c r="AL22" s="780"/>
      <c r="AM22" s="780"/>
      <c r="AN22" s="780"/>
      <c r="AO22" s="780"/>
      <c r="AP22" s="780"/>
      <c r="AQ22" s="780"/>
      <c r="AR22" s="780"/>
      <c r="AS22" s="781"/>
      <c r="AT22" s="786"/>
      <c r="AU22" s="23" t="s">
        <v>295</v>
      </c>
      <c r="AV22" s="235" t="str">
        <f>IF(COUNTIF($BZ$15:$BZ$19,AT$5)=0,"",_xlfn.XLOOKUP(AT$5,$BZ$15:$BZ$19,$CG$15:$CG$19,"",0,1))</f>
        <v/>
      </c>
      <c r="AW22" s="236" t="str">
        <f>IF(COUNTIF($BZ$15:$BZ$19,AT$5)=0,"",_xlfn.XLOOKUP(AT$5,$BZ$15:$BZ$19,$CH$15:$CH$19,"",0,1))</f>
        <v/>
      </c>
      <c r="AX22" s="25" t="s">
        <v>18</v>
      </c>
      <c r="AY22" s="23" t="s">
        <v>57</v>
      </c>
      <c r="AZ22" s="779" t="str">
        <f>IF(COUNTIF($BZ$15:$BZ$19,AT$5)=0,"",_xlfn.XLOOKUP(AT$5,$BZ$15:$BZ$19,$CI$15:$CI$19,"",0,1))</f>
        <v/>
      </c>
      <c r="BA22" s="780"/>
      <c r="BB22" s="780"/>
      <c r="BC22" s="780"/>
      <c r="BD22" s="780"/>
      <c r="BE22" s="780"/>
      <c r="BF22" s="780"/>
      <c r="BG22" s="780"/>
      <c r="BH22" s="781"/>
      <c r="BI22" s="786"/>
      <c r="BJ22" s="23" t="s">
        <v>295</v>
      </c>
      <c r="BK22" s="235" t="str">
        <f>IF(COUNTIF($BZ$15:$BZ$19,BI$5)=0,"",_xlfn.XLOOKUP(BI$5,$BZ$15:$BZ$19,$CG$15:$CG$19,"",0,1))</f>
        <v/>
      </c>
      <c r="BL22" s="236" t="str">
        <f>IF(COUNTIF($BZ$15:$BZ$19,BI$5)=0,"",_xlfn.XLOOKUP(BI$5,$BZ$15:$BZ$19,$CH$15:$CH$19,"",0,1))</f>
        <v/>
      </c>
      <c r="BM22" s="25" t="s">
        <v>18</v>
      </c>
      <c r="BN22" s="23" t="s">
        <v>57</v>
      </c>
      <c r="BO22" s="779" t="str">
        <f>IF(COUNTIF($BZ$15:$BZ$19,BI$5)=0,"",_xlfn.XLOOKUP(BI$5,$BZ$15:$BZ$19,$CI$15:$CI$19,"",0,1))</f>
        <v/>
      </c>
      <c r="BP22" s="780"/>
      <c r="BQ22" s="780"/>
      <c r="BR22" s="780"/>
      <c r="BS22" s="780"/>
      <c r="BT22" s="780"/>
      <c r="BU22" s="780"/>
      <c r="BV22" s="780"/>
      <c r="BW22" s="781"/>
    </row>
    <row r="23" spans="1:107" ht="24.75" customHeight="1">
      <c r="A23" s="787"/>
      <c r="B23" s="23" t="s">
        <v>297</v>
      </c>
      <c r="C23" s="235">
        <f>IF(COUNTIF($BZ$15:$BZ$19,A$5)=0,"",_xlfn.XLOOKUP(A$5,$BZ$15:$BZ$19,$CJ$15:$CJ$19,"",0,1))</f>
        <v>0</v>
      </c>
      <c r="D23" s="236">
        <f>IF(COUNTIF($BZ$15:$BZ$19,A$5)=0,"",_xlfn.XLOOKUP(A$5,$BZ$15:$BZ$19,$CK$15:$CK$19,"",0,1))</f>
        <v>0</v>
      </c>
      <c r="E23" s="25" t="s">
        <v>18</v>
      </c>
      <c r="F23" s="23" t="s">
        <v>57</v>
      </c>
      <c r="G23" s="779" t="str">
        <f>IF(COUNTIF($BZ$15:$BZ$19,A$5)=0,"",_xlfn.XLOOKUP(A$5,$BZ$15:$BZ$19,$CL$15:$CL$19,"",0,1))</f>
        <v/>
      </c>
      <c r="H23" s="780"/>
      <c r="I23" s="780"/>
      <c r="J23" s="780"/>
      <c r="K23" s="780"/>
      <c r="L23" s="780"/>
      <c r="M23" s="780"/>
      <c r="N23" s="780"/>
      <c r="O23" s="781"/>
      <c r="P23" s="827"/>
      <c r="Q23" s="23" t="s">
        <v>297</v>
      </c>
      <c r="R23" s="235" t="str">
        <f>IF(COUNTIF($BZ$15:$BZ$19,P$5)=0,"",_xlfn.XLOOKUP(P$5,$BZ$15:$BZ$19,$CJ$15:$CJ$19,"",0,1))</f>
        <v/>
      </c>
      <c r="S23" s="236" t="str">
        <f>IF(COUNTIF($BZ$15:$BZ$19,P$5)=0,"",_xlfn.XLOOKUP(P$5,$BZ$15:$BZ$19,$CK$15:$CK$19,"",0,1))</f>
        <v/>
      </c>
      <c r="T23" s="25" t="s">
        <v>18</v>
      </c>
      <c r="U23" s="23" t="s">
        <v>57</v>
      </c>
      <c r="V23" s="779" t="str">
        <f>IF(COUNTIF($BZ$15:$BZ$19,P$5)=0,"",_xlfn.XLOOKUP(P$5,$BZ$15:$BZ$19,$CL$15:$CL$19,"",0,1))</f>
        <v/>
      </c>
      <c r="W23" s="780"/>
      <c r="X23" s="780"/>
      <c r="Y23" s="780"/>
      <c r="Z23" s="780"/>
      <c r="AA23" s="780"/>
      <c r="AB23" s="780"/>
      <c r="AC23" s="780"/>
      <c r="AD23" s="781"/>
      <c r="AE23" s="787"/>
      <c r="AF23" s="23" t="s">
        <v>297</v>
      </c>
      <c r="AG23" s="235" t="str">
        <f>IF(COUNTIF($BZ$15:$BZ$19,AE$5)=0,"",_xlfn.XLOOKUP(AE$5,$BZ$15:$BZ$19,$CJ$15:$CJ$19,"",0,1))</f>
        <v/>
      </c>
      <c r="AH23" s="236" t="str">
        <f>IF(COUNTIF($BZ$15:$BZ$19,AE$5)=0,"",_xlfn.XLOOKUP(AE$5,$BZ$15:$BZ$19,$CK$15:$CK$19,"",0,1))</f>
        <v/>
      </c>
      <c r="AI23" s="25" t="s">
        <v>18</v>
      </c>
      <c r="AJ23" s="23" t="s">
        <v>57</v>
      </c>
      <c r="AK23" s="779" t="str">
        <f>IF(COUNTIF($BZ$15:$BZ$19,AE$5)=0,"",_xlfn.XLOOKUP(AE$5,$BZ$15:$BZ$19,$CL$15:$CL$19,"",0,1))</f>
        <v/>
      </c>
      <c r="AL23" s="780"/>
      <c r="AM23" s="780"/>
      <c r="AN23" s="780"/>
      <c r="AO23" s="780"/>
      <c r="AP23" s="780"/>
      <c r="AQ23" s="780"/>
      <c r="AR23" s="780"/>
      <c r="AS23" s="781"/>
      <c r="AT23" s="787"/>
      <c r="AU23" s="23" t="s">
        <v>297</v>
      </c>
      <c r="AV23" s="235" t="str">
        <f>IF(COUNTIF($BZ$15:$BZ$19,AT$5)=0,"",_xlfn.XLOOKUP(AT$5,$BZ$15:$BZ$19,$CJ$15:$CJ$19,"",0,1))</f>
        <v/>
      </c>
      <c r="AW23" s="236" t="str">
        <f>IF(COUNTIF($BZ$15:$BZ$19,AT$5)=0,"",_xlfn.XLOOKUP(AT$5,$BZ$15:$BZ$19,$CK$15:$CK$19,"",0,1))</f>
        <v/>
      </c>
      <c r="AX23" s="25" t="s">
        <v>18</v>
      </c>
      <c r="AY23" s="23" t="s">
        <v>57</v>
      </c>
      <c r="AZ23" s="779" t="str">
        <f>IF(COUNTIF($BZ$15:$BZ$19,AT$5)=0,"",_xlfn.XLOOKUP(AT$5,$BZ$15:$BZ$19,$CL$15:$CL$19,"",0,1))</f>
        <v/>
      </c>
      <c r="BA23" s="780"/>
      <c r="BB23" s="780"/>
      <c r="BC23" s="780"/>
      <c r="BD23" s="780"/>
      <c r="BE23" s="780"/>
      <c r="BF23" s="780"/>
      <c r="BG23" s="780"/>
      <c r="BH23" s="781"/>
      <c r="BI23" s="787"/>
      <c r="BJ23" s="23" t="s">
        <v>297</v>
      </c>
      <c r="BK23" s="235" t="str">
        <f>IF(COUNTIF($BZ$15:$BZ$19,BI$5)=0,"",_xlfn.XLOOKUP(BI$5,$BZ$15:$BZ$19,$CJ$15:$CJ$19,"",0,1))</f>
        <v/>
      </c>
      <c r="BL23" s="236" t="str">
        <f>IF(COUNTIF($BZ$15:$BZ$19,BI$5)=0,"",_xlfn.XLOOKUP(BI$5,$BZ$15:$BZ$19,$CK$15:$CK$19,"",0,1))</f>
        <v/>
      </c>
      <c r="BM23" s="25" t="s">
        <v>18</v>
      </c>
      <c r="BN23" s="23" t="s">
        <v>57</v>
      </c>
      <c r="BO23" s="779" t="str">
        <f>IF(COUNTIF($BZ$15:$BZ$19,BI$5)=0,"",_xlfn.XLOOKUP(BI$5,$BZ$15:$BZ$19,$CL$15:$CL$19,"",0,1))</f>
        <v/>
      </c>
      <c r="BP23" s="780"/>
      <c r="BQ23" s="780"/>
      <c r="BR23" s="780"/>
      <c r="BS23" s="780"/>
      <c r="BT23" s="780"/>
      <c r="BU23" s="780"/>
      <c r="BV23" s="780"/>
      <c r="BW23" s="781"/>
    </row>
    <row r="24" spans="1:107" ht="24.75" customHeight="1">
      <c r="A24" s="854" t="s">
        <v>69</v>
      </c>
      <c r="B24" s="23" t="s">
        <v>3</v>
      </c>
      <c r="C24" s="150"/>
      <c r="D24" s="27"/>
      <c r="E24" s="25" t="s">
        <v>18</v>
      </c>
      <c r="F24" s="23" t="s">
        <v>57</v>
      </c>
      <c r="G24" s="230" t="s">
        <v>70</v>
      </c>
      <c r="H24" s="810"/>
      <c r="I24" s="810"/>
      <c r="J24" s="230" t="s">
        <v>71</v>
      </c>
      <c r="K24" s="810"/>
      <c r="L24" s="810"/>
      <c r="M24" s="230" t="s">
        <v>72</v>
      </c>
      <c r="N24" s="810"/>
      <c r="O24" s="811"/>
      <c r="P24" s="793" t="s">
        <v>69</v>
      </c>
      <c r="Q24" s="23" t="s">
        <v>3</v>
      </c>
      <c r="R24" s="150"/>
      <c r="S24" s="174"/>
      <c r="T24" s="232" t="s">
        <v>18</v>
      </c>
      <c r="U24" s="23" t="s">
        <v>57</v>
      </c>
      <c r="V24" s="230" t="s">
        <v>70</v>
      </c>
      <c r="W24" s="810"/>
      <c r="X24" s="810"/>
      <c r="Y24" s="230" t="s">
        <v>71</v>
      </c>
      <c r="Z24" s="810"/>
      <c r="AA24" s="810"/>
      <c r="AB24" s="230" t="s">
        <v>72</v>
      </c>
      <c r="AC24" s="810"/>
      <c r="AD24" s="811"/>
      <c r="AE24" s="854" t="s">
        <v>69</v>
      </c>
      <c r="AF24" s="23" t="s">
        <v>3</v>
      </c>
      <c r="AG24" s="150"/>
      <c r="AH24" s="153"/>
      <c r="AI24" s="25" t="s">
        <v>18</v>
      </c>
      <c r="AJ24" s="23" t="s">
        <v>57</v>
      </c>
      <c r="AK24" s="230" t="s">
        <v>70</v>
      </c>
      <c r="AL24" s="810"/>
      <c r="AM24" s="810"/>
      <c r="AN24" s="230" t="s">
        <v>71</v>
      </c>
      <c r="AO24" s="810"/>
      <c r="AP24" s="810"/>
      <c r="AQ24" s="230" t="s">
        <v>72</v>
      </c>
      <c r="AR24" s="810"/>
      <c r="AS24" s="811"/>
      <c r="AT24" s="854" t="s">
        <v>69</v>
      </c>
      <c r="AU24" s="23" t="s">
        <v>3</v>
      </c>
      <c r="AV24" s="150"/>
      <c r="AW24" s="153"/>
      <c r="AX24" s="25" t="s">
        <v>18</v>
      </c>
      <c r="AY24" s="23" t="s">
        <v>57</v>
      </c>
      <c r="AZ24" s="230" t="s">
        <v>70</v>
      </c>
      <c r="BA24" s="810"/>
      <c r="BB24" s="810"/>
      <c r="BC24" s="230" t="s">
        <v>71</v>
      </c>
      <c r="BD24" s="810"/>
      <c r="BE24" s="810"/>
      <c r="BF24" s="230" t="s">
        <v>72</v>
      </c>
      <c r="BG24" s="810"/>
      <c r="BH24" s="811"/>
      <c r="BI24" s="854" t="s">
        <v>69</v>
      </c>
      <c r="BJ24" s="23" t="s">
        <v>3</v>
      </c>
      <c r="BK24" s="150"/>
      <c r="BL24" s="153"/>
      <c r="BM24" s="25" t="s">
        <v>18</v>
      </c>
      <c r="BN24" s="23" t="s">
        <v>57</v>
      </c>
      <c r="BO24" s="230" t="s">
        <v>70</v>
      </c>
      <c r="BP24" s="810"/>
      <c r="BQ24" s="810"/>
      <c r="BR24" s="230" t="s">
        <v>71</v>
      </c>
      <c r="BS24" s="810"/>
      <c r="BT24" s="810"/>
      <c r="BU24" s="230" t="s">
        <v>72</v>
      </c>
      <c r="BV24" s="810"/>
      <c r="BW24" s="811"/>
    </row>
    <row r="25" spans="1:107" ht="24.75" customHeight="1">
      <c r="A25" s="854"/>
      <c r="B25" s="23" t="s">
        <v>4</v>
      </c>
      <c r="C25" s="150"/>
      <c r="D25" s="27"/>
      <c r="E25" s="25" t="s">
        <v>20</v>
      </c>
      <c r="F25" s="792" t="s">
        <v>56</v>
      </c>
      <c r="G25" s="817"/>
      <c r="H25" s="817"/>
      <c r="I25" s="817"/>
      <c r="J25" s="817"/>
      <c r="K25" s="817"/>
      <c r="L25" s="817"/>
      <c r="M25" s="817"/>
      <c r="N25" s="817"/>
      <c r="O25" s="853"/>
      <c r="P25" s="793"/>
      <c r="Q25" s="23" t="s">
        <v>4</v>
      </c>
      <c r="R25" s="150"/>
      <c r="S25" s="27"/>
      <c r="T25" s="25" t="s">
        <v>20</v>
      </c>
      <c r="U25" s="792" t="s">
        <v>56</v>
      </c>
      <c r="V25" s="817"/>
      <c r="W25" s="817"/>
      <c r="X25" s="817"/>
      <c r="Y25" s="817"/>
      <c r="Z25" s="817"/>
      <c r="AA25" s="817"/>
      <c r="AB25" s="817"/>
      <c r="AC25" s="817"/>
      <c r="AD25" s="817"/>
      <c r="AE25" s="854"/>
      <c r="AF25" s="23" t="s">
        <v>4</v>
      </c>
      <c r="AG25" s="150"/>
      <c r="AH25" s="153"/>
      <c r="AI25" s="25" t="s">
        <v>20</v>
      </c>
      <c r="AJ25" s="792" t="s">
        <v>56</v>
      </c>
      <c r="AK25" s="817"/>
      <c r="AL25" s="817"/>
      <c r="AM25" s="817"/>
      <c r="AN25" s="817"/>
      <c r="AO25" s="817"/>
      <c r="AP25" s="817"/>
      <c r="AQ25" s="817"/>
      <c r="AR25" s="817"/>
      <c r="AS25" s="853"/>
      <c r="AT25" s="854"/>
      <c r="AU25" s="23" t="s">
        <v>4</v>
      </c>
      <c r="AV25" s="150"/>
      <c r="AW25" s="153"/>
      <c r="AX25" s="25" t="s">
        <v>20</v>
      </c>
      <c r="AY25" s="792" t="s">
        <v>56</v>
      </c>
      <c r="AZ25" s="817"/>
      <c r="BA25" s="817"/>
      <c r="BB25" s="817"/>
      <c r="BC25" s="817"/>
      <c r="BD25" s="817"/>
      <c r="BE25" s="817"/>
      <c r="BF25" s="817"/>
      <c r="BG25" s="817"/>
      <c r="BH25" s="853"/>
      <c r="BI25" s="854"/>
      <c r="BJ25" s="23" t="s">
        <v>4</v>
      </c>
      <c r="BK25" s="150"/>
      <c r="BL25" s="153"/>
      <c r="BM25" s="25" t="s">
        <v>20</v>
      </c>
      <c r="BN25" s="792" t="s">
        <v>56</v>
      </c>
      <c r="BO25" s="817"/>
      <c r="BP25" s="817"/>
      <c r="BQ25" s="817"/>
      <c r="BR25" s="817"/>
      <c r="BS25" s="817"/>
      <c r="BT25" s="817"/>
      <c r="BU25" s="817"/>
      <c r="BV25" s="817"/>
      <c r="BW25" s="853"/>
    </row>
    <row r="26" spans="1:107" ht="24.75" customHeight="1">
      <c r="A26" s="854"/>
      <c r="B26" s="23" t="s">
        <v>5</v>
      </c>
      <c r="C26" s="150"/>
      <c r="D26" s="27"/>
      <c r="E26" s="25" t="s">
        <v>20</v>
      </c>
      <c r="F26" s="792" t="s">
        <v>56</v>
      </c>
      <c r="G26" s="817"/>
      <c r="H26" s="817"/>
      <c r="I26" s="817"/>
      <c r="J26" s="817"/>
      <c r="K26" s="817"/>
      <c r="L26" s="817"/>
      <c r="M26" s="817"/>
      <c r="N26" s="817"/>
      <c r="O26" s="853"/>
      <c r="P26" s="793"/>
      <c r="Q26" s="23" t="s">
        <v>5</v>
      </c>
      <c r="R26" s="150"/>
      <c r="S26" s="27"/>
      <c r="T26" s="25" t="s">
        <v>20</v>
      </c>
      <c r="U26" s="792" t="s">
        <v>56</v>
      </c>
      <c r="V26" s="817"/>
      <c r="W26" s="817"/>
      <c r="X26" s="817"/>
      <c r="Y26" s="817"/>
      <c r="Z26" s="817"/>
      <c r="AA26" s="817"/>
      <c r="AB26" s="817"/>
      <c r="AC26" s="817"/>
      <c r="AD26" s="817"/>
      <c r="AE26" s="854"/>
      <c r="AF26" s="23" t="s">
        <v>5</v>
      </c>
      <c r="AG26" s="150"/>
      <c r="AH26" s="153"/>
      <c r="AI26" s="25" t="s">
        <v>20</v>
      </c>
      <c r="AJ26" s="792" t="s">
        <v>56</v>
      </c>
      <c r="AK26" s="817"/>
      <c r="AL26" s="817"/>
      <c r="AM26" s="817"/>
      <c r="AN26" s="817"/>
      <c r="AO26" s="817"/>
      <c r="AP26" s="817"/>
      <c r="AQ26" s="817"/>
      <c r="AR26" s="817"/>
      <c r="AS26" s="853"/>
      <c r="AT26" s="854"/>
      <c r="AU26" s="23" t="s">
        <v>5</v>
      </c>
      <c r="AV26" s="150"/>
      <c r="AW26" s="153"/>
      <c r="AX26" s="25" t="s">
        <v>20</v>
      </c>
      <c r="AY26" s="792" t="s">
        <v>56</v>
      </c>
      <c r="AZ26" s="817"/>
      <c r="BA26" s="817"/>
      <c r="BB26" s="817"/>
      <c r="BC26" s="817"/>
      <c r="BD26" s="817"/>
      <c r="BE26" s="817"/>
      <c r="BF26" s="817"/>
      <c r="BG26" s="817"/>
      <c r="BH26" s="853"/>
      <c r="BI26" s="854"/>
      <c r="BJ26" s="23" t="s">
        <v>5</v>
      </c>
      <c r="BK26" s="150"/>
      <c r="BL26" s="153"/>
      <c r="BM26" s="25" t="s">
        <v>20</v>
      </c>
      <c r="BN26" s="792" t="s">
        <v>56</v>
      </c>
      <c r="BO26" s="817"/>
      <c r="BP26" s="817"/>
      <c r="BQ26" s="817"/>
      <c r="BR26" s="817"/>
      <c r="BS26" s="817"/>
      <c r="BT26" s="817"/>
      <c r="BU26" s="817"/>
      <c r="BV26" s="817"/>
      <c r="BW26" s="853"/>
    </row>
    <row r="27" spans="1:107" ht="24.75" customHeight="1">
      <c r="A27" s="854"/>
      <c r="B27" s="23" t="s">
        <v>7</v>
      </c>
      <c r="C27" s="150"/>
      <c r="D27" s="27"/>
      <c r="E27" s="25" t="s">
        <v>20</v>
      </c>
      <c r="F27" s="792" t="s">
        <v>56</v>
      </c>
      <c r="G27" s="817"/>
      <c r="H27" s="817"/>
      <c r="I27" s="817"/>
      <c r="J27" s="817"/>
      <c r="K27" s="817"/>
      <c r="L27" s="817"/>
      <c r="M27" s="817"/>
      <c r="N27" s="817"/>
      <c r="O27" s="853"/>
      <c r="P27" s="793"/>
      <c r="Q27" s="23" t="s">
        <v>7</v>
      </c>
      <c r="R27" s="150"/>
      <c r="S27" s="27"/>
      <c r="T27" s="25" t="s">
        <v>20</v>
      </c>
      <c r="U27" s="792" t="s">
        <v>56</v>
      </c>
      <c r="V27" s="817"/>
      <c r="W27" s="817"/>
      <c r="X27" s="817"/>
      <c r="Y27" s="817"/>
      <c r="Z27" s="817"/>
      <c r="AA27" s="817"/>
      <c r="AB27" s="817"/>
      <c r="AC27" s="817"/>
      <c r="AD27" s="817"/>
      <c r="AE27" s="854"/>
      <c r="AF27" s="23" t="s">
        <v>7</v>
      </c>
      <c r="AG27" s="150"/>
      <c r="AH27" s="153"/>
      <c r="AI27" s="25" t="s">
        <v>20</v>
      </c>
      <c r="AJ27" s="792" t="s">
        <v>56</v>
      </c>
      <c r="AK27" s="817"/>
      <c r="AL27" s="817"/>
      <c r="AM27" s="817"/>
      <c r="AN27" s="817"/>
      <c r="AO27" s="817"/>
      <c r="AP27" s="817"/>
      <c r="AQ27" s="817"/>
      <c r="AR27" s="817"/>
      <c r="AS27" s="853"/>
      <c r="AT27" s="854"/>
      <c r="AU27" s="23" t="s">
        <v>7</v>
      </c>
      <c r="AV27" s="150"/>
      <c r="AW27" s="153"/>
      <c r="AX27" s="25" t="s">
        <v>20</v>
      </c>
      <c r="AY27" s="792" t="s">
        <v>56</v>
      </c>
      <c r="AZ27" s="817"/>
      <c r="BA27" s="817"/>
      <c r="BB27" s="817"/>
      <c r="BC27" s="817"/>
      <c r="BD27" s="817"/>
      <c r="BE27" s="817"/>
      <c r="BF27" s="817"/>
      <c r="BG27" s="817"/>
      <c r="BH27" s="853"/>
      <c r="BI27" s="854"/>
      <c r="BJ27" s="23" t="s">
        <v>7</v>
      </c>
      <c r="BK27" s="150"/>
      <c r="BL27" s="153"/>
      <c r="BM27" s="25" t="s">
        <v>20</v>
      </c>
      <c r="BN27" s="792" t="s">
        <v>56</v>
      </c>
      <c r="BO27" s="817"/>
      <c r="BP27" s="817"/>
      <c r="BQ27" s="817"/>
      <c r="BR27" s="817"/>
      <c r="BS27" s="817"/>
      <c r="BT27" s="817"/>
      <c r="BU27" s="817"/>
      <c r="BV27" s="817"/>
      <c r="BW27" s="853"/>
    </row>
    <row r="28" spans="1:107" ht="24.75" customHeight="1">
      <c r="A28" s="854"/>
      <c r="B28" s="23" t="s">
        <v>8</v>
      </c>
      <c r="C28" s="150"/>
      <c r="D28" s="27"/>
      <c r="E28" s="25" t="s">
        <v>20</v>
      </c>
      <c r="F28" s="792" t="s">
        <v>56</v>
      </c>
      <c r="G28" s="817"/>
      <c r="H28" s="817"/>
      <c r="I28" s="817"/>
      <c r="J28" s="817"/>
      <c r="K28" s="817"/>
      <c r="L28" s="817"/>
      <c r="M28" s="817"/>
      <c r="N28" s="817"/>
      <c r="O28" s="853"/>
      <c r="P28" s="793"/>
      <c r="Q28" s="23" t="s">
        <v>8</v>
      </c>
      <c r="R28" s="150"/>
      <c r="S28" s="27"/>
      <c r="T28" s="25" t="s">
        <v>20</v>
      </c>
      <c r="U28" s="792" t="s">
        <v>56</v>
      </c>
      <c r="V28" s="817"/>
      <c r="W28" s="817"/>
      <c r="X28" s="817"/>
      <c r="Y28" s="817"/>
      <c r="Z28" s="817"/>
      <c r="AA28" s="817"/>
      <c r="AB28" s="817"/>
      <c r="AC28" s="817"/>
      <c r="AD28" s="817"/>
      <c r="AE28" s="854"/>
      <c r="AF28" s="23" t="s">
        <v>8</v>
      </c>
      <c r="AG28" s="150"/>
      <c r="AH28" s="153"/>
      <c r="AI28" s="25" t="s">
        <v>20</v>
      </c>
      <c r="AJ28" s="792" t="s">
        <v>56</v>
      </c>
      <c r="AK28" s="817"/>
      <c r="AL28" s="817"/>
      <c r="AM28" s="817"/>
      <c r="AN28" s="817"/>
      <c r="AO28" s="817"/>
      <c r="AP28" s="817"/>
      <c r="AQ28" s="817"/>
      <c r="AR28" s="817"/>
      <c r="AS28" s="853"/>
      <c r="AT28" s="854"/>
      <c r="AU28" s="23" t="s">
        <v>8</v>
      </c>
      <c r="AV28" s="150"/>
      <c r="AW28" s="153"/>
      <c r="AX28" s="25" t="s">
        <v>20</v>
      </c>
      <c r="AY28" s="792" t="s">
        <v>56</v>
      </c>
      <c r="AZ28" s="817"/>
      <c r="BA28" s="817"/>
      <c r="BB28" s="817"/>
      <c r="BC28" s="817"/>
      <c r="BD28" s="817"/>
      <c r="BE28" s="817"/>
      <c r="BF28" s="817"/>
      <c r="BG28" s="817"/>
      <c r="BH28" s="853"/>
      <c r="BI28" s="854"/>
      <c r="BJ28" s="23" t="s">
        <v>8</v>
      </c>
      <c r="BK28" s="150"/>
      <c r="BL28" s="153"/>
      <c r="BM28" s="25" t="s">
        <v>20</v>
      </c>
      <c r="BN28" s="792" t="s">
        <v>56</v>
      </c>
      <c r="BO28" s="817"/>
      <c r="BP28" s="817"/>
      <c r="BQ28" s="817"/>
      <c r="BR28" s="817"/>
      <c r="BS28" s="817"/>
      <c r="BT28" s="817"/>
      <c r="BU28" s="817"/>
      <c r="BV28" s="817"/>
      <c r="BW28" s="853"/>
    </row>
    <row r="29" spans="1:107" ht="24.75" customHeight="1">
      <c r="A29" s="854"/>
      <c r="B29" s="23" t="s">
        <v>6</v>
      </c>
      <c r="C29" s="150"/>
      <c r="D29" s="27"/>
      <c r="E29" s="25" t="s">
        <v>20</v>
      </c>
      <c r="F29" s="792" t="s">
        <v>68</v>
      </c>
      <c r="G29" s="817"/>
      <c r="H29" s="817"/>
      <c r="I29" s="817"/>
      <c r="J29" s="817"/>
      <c r="K29" s="817"/>
      <c r="L29" s="817"/>
      <c r="M29" s="817"/>
      <c r="N29" s="817"/>
      <c r="O29" s="853"/>
      <c r="P29" s="793"/>
      <c r="Q29" s="23" t="s">
        <v>6</v>
      </c>
      <c r="R29" s="150"/>
      <c r="S29" s="27"/>
      <c r="T29" s="25" t="s">
        <v>20</v>
      </c>
      <c r="U29" s="792" t="s">
        <v>68</v>
      </c>
      <c r="V29" s="817"/>
      <c r="W29" s="817"/>
      <c r="X29" s="817"/>
      <c r="Y29" s="817"/>
      <c r="Z29" s="817"/>
      <c r="AA29" s="817"/>
      <c r="AB29" s="817"/>
      <c r="AC29" s="817"/>
      <c r="AD29" s="817"/>
      <c r="AE29" s="854"/>
      <c r="AF29" s="23" t="s">
        <v>6</v>
      </c>
      <c r="AG29" s="150"/>
      <c r="AH29" s="153"/>
      <c r="AI29" s="25" t="s">
        <v>20</v>
      </c>
      <c r="AJ29" s="792" t="s">
        <v>68</v>
      </c>
      <c r="AK29" s="817"/>
      <c r="AL29" s="817"/>
      <c r="AM29" s="817"/>
      <c r="AN29" s="817"/>
      <c r="AO29" s="817"/>
      <c r="AP29" s="817"/>
      <c r="AQ29" s="817"/>
      <c r="AR29" s="817"/>
      <c r="AS29" s="853"/>
      <c r="AT29" s="854"/>
      <c r="AU29" s="23" t="s">
        <v>6</v>
      </c>
      <c r="AV29" s="150"/>
      <c r="AW29" s="153"/>
      <c r="AX29" s="25" t="s">
        <v>20</v>
      </c>
      <c r="AY29" s="792" t="s">
        <v>68</v>
      </c>
      <c r="AZ29" s="817"/>
      <c r="BA29" s="817"/>
      <c r="BB29" s="817"/>
      <c r="BC29" s="817"/>
      <c r="BD29" s="817"/>
      <c r="BE29" s="817"/>
      <c r="BF29" s="817"/>
      <c r="BG29" s="817"/>
      <c r="BH29" s="853"/>
      <c r="BI29" s="854"/>
      <c r="BJ29" s="23" t="s">
        <v>6</v>
      </c>
      <c r="BK29" s="150"/>
      <c r="BL29" s="153"/>
      <c r="BM29" s="25" t="s">
        <v>20</v>
      </c>
      <c r="BN29" s="792" t="s">
        <v>68</v>
      </c>
      <c r="BO29" s="817"/>
      <c r="BP29" s="817"/>
      <c r="BQ29" s="817"/>
      <c r="BR29" s="817"/>
      <c r="BS29" s="817"/>
      <c r="BT29" s="817"/>
      <c r="BU29" s="817"/>
      <c r="BV29" s="817"/>
      <c r="BW29" s="853"/>
    </row>
    <row r="30" spans="1:107" ht="24.75" customHeight="1">
      <c r="A30" s="26" t="s">
        <v>19</v>
      </c>
      <c r="B30" s="23" t="s">
        <v>2</v>
      </c>
      <c r="C30" s="150"/>
      <c r="D30" s="27"/>
      <c r="E30" s="25" t="s">
        <v>18</v>
      </c>
      <c r="F30" s="792" t="s">
        <v>64</v>
      </c>
      <c r="G30" s="817"/>
      <c r="H30" s="817"/>
      <c r="I30" s="817"/>
      <c r="J30" s="817"/>
      <c r="K30" s="817"/>
      <c r="L30" s="817"/>
      <c r="M30" s="817"/>
      <c r="N30" s="817"/>
      <c r="O30" s="853"/>
      <c r="P30" s="165" t="s">
        <v>19</v>
      </c>
      <c r="Q30" s="23" t="s">
        <v>2</v>
      </c>
      <c r="R30" s="150"/>
      <c r="S30" s="27"/>
      <c r="T30" s="25" t="s">
        <v>18</v>
      </c>
      <c r="U30" s="792" t="s">
        <v>64</v>
      </c>
      <c r="V30" s="817"/>
      <c r="W30" s="817"/>
      <c r="X30" s="817"/>
      <c r="Y30" s="817"/>
      <c r="Z30" s="817"/>
      <c r="AA30" s="817"/>
      <c r="AB30" s="817"/>
      <c r="AC30" s="817"/>
      <c r="AD30" s="817"/>
      <c r="AE30" s="26" t="s">
        <v>19</v>
      </c>
      <c r="AF30" s="23" t="s">
        <v>2</v>
      </c>
      <c r="AG30" s="150"/>
      <c r="AH30" s="153"/>
      <c r="AI30" s="25" t="s">
        <v>18</v>
      </c>
      <c r="AJ30" s="792" t="s">
        <v>64</v>
      </c>
      <c r="AK30" s="817"/>
      <c r="AL30" s="817"/>
      <c r="AM30" s="817"/>
      <c r="AN30" s="817"/>
      <c r="AO30" s="817"/>
      <c r="AP30" s="817"/>
      <c r="AQ30" s="817"/>
      <c r="AR30" s="817"/>
      <c r="AS30" s="853"/>
      <c r="AT30" s="26" t="s">
        <v>19</v>
      </c>
      <c r="AU30" s="23" t="s">
        <v>2</v>
      </c>
      <c r="AV30" s="150"/>
      <c r="AW30" s="153"/>
      <c r="AX30" s="25" t="s">
        <v>18</v>
      </c>
      <c r="AY30" s="792" t="s">
        <v>64</v>
      </c>
      <c r="AZ30" s="817"/>
      <c r="BA30" s="817"/>
      <c r="BB30" s="817"/>
      <c r="BC30" s="817"/>
      <c r="BD30" s="817"/>
      <c r="BE30" s="817"/>
      <c r="BF30" s="817"/>
      <c r="BG30" s="817"/>
      <c r="BH30" s="853"/>
      <c r="BI30" s="26" t="s">
        <v>19</v>
      </c>
      <c r="BJ30" s="23" t="s">
        <v>2</v>
      </c>
      <c r="BK30" s="150"/>
      <c r="BL30" s="153"/>
      <c r="BM30" s="25" t="s">
        <v>18</v>
      </c>
      <c r="BN30" s="792" t="s">
        <v>64</v>
      </c>
      <c r="BO30" s="817"/>
      <c r="BP30" s="817"/>
      <c r="BQ30" s="817"/>
      <c r="BR30" s="817"/>
      <c r="BS30" s="817"/>
      <c r="BT30" s="817"/>
      <c r="BU30" s="817"/>
      <c r="BV30" s="817"/>
      <c r="BW30" s="853"/>
    </row>
    <row r="31" spans="1:107" ht="24.75" customHeight="1">
      <c r="A31" s="863" t="s">
        <v>268</v>
      </c>
      <c r="B31" s="23" t="s">
        <v>9</v>
      </c>
      <c r="C31" s="150"/>
      <c r="D31" s="27"/>
      <c r="E31" s="25" t="s">
        <v>18</v>
      </c>
      <c r="F31" s="861" t="s">
        <v>120</v>
      </c>
      <c r="G31" s="861"/>
      <c r="H31" s="861"/>
      <c r="I31" s="861"/>
      <c r="J31" s="821"/>
      <c r="K31" s="821"/>
      <c r="L31" s="821"/>
      <c r="M31" s="821"/>
      <c r="N31" s="821"/>
      <c r="O31" s="822"/>
      <c r="P31" s="862" t="s">
        <v>269</v>
      </c>
      <c r="Q31" s="23" t="s">
        <v>9</v>
      </c>
      <c r="R31" s="150"/>
      <c r="S31" s="27"/>
      <c r="T31" s="25" t="s">
        <v>18</v>
      </c>
      <c r="U31" s="792" t="s">
        <v>120</v>
      </c>
      <c r="V31" s="817"/>
      <c r="W31" s="817"/>
      <c r="X31" s="817"/>
      <c r="Y31" s="821"/>
      <c r="Z31" s="821"/>
      <c r="AA31" s="821"/>
      <c r="AB31" s="821"/>
      <c r="AC31" s="821"/>
      <c r="AD31" s="821"/>
      <c r="AE31" s="854" t="s">
        <v>21</v>
      </c>
      <c r="AF31" s="23" t="s">
        <v>9</v>
      </c>
      <c r="AG31" s="150"/>
      <c r="AH31" s="153"/>
      <c r="AI31" s="25" t="s">
        <v>18</v>
      </c>
      <c r="AJ31" s="792" t="s">
        <v>120</v>
      </c>
      <c r="AK31" s="817"/>
      <c r="AL31" s="817"/>
      <c r="AM31" s="817"/>
      <c r="AN31" s="821"/>
      <c r="AO31" s="821"/>
      <c r="AP31" s="821"/>
      <c r="AQ31" s="821"/>
      <c r="AR31" s="821"/>
      <c r="AS31" s="822"/>
      <c r="AT31" s="854" t="s">
        <v>21</v>
      </c>
      <c r="AU31" s="23" t="s">
        <v>9</v>
      </c>
      <c r="AV31" s="150"/>
      <c r="AW31" s="153"/>
      <c r="AX31" s="25" t="s">
        <v>18</v>
      </c>
      <c r="AY31" s="792" t="s">
        <v>120</v>
      </c>
      <c r="AZ31" s="817"/>
      <c r="BA31" s="817"/>
      <c r="BB31" s="817"/>
      <c r="BC31" s="821"/>
      <c r="BD31" s="821"/>
      <c r="BE31" s="821"/>
      <c r="BF31" s="821"/>
      <c r="BG31" s="821"/>
      <c r="BH31" s="822"/>
      <c r="BI31" s="854" t="s">
        <v>21</v>
      </c>
      <c r="BJ31" s="23" t="s">
        <v>9</v>
      </c>
      <c r="BK31" s="150"/>
      <c r="BL31" s="153"/>
      <c r="BM31" s="25" t="s">
        <v>18</v>
      </c>
      <c r="BN31" s="792" t="s">
        <v>120</v>
      </c>
      <c r="BO31" s="817"/>
      <c r="BP31" s="817"/>
      <c r="BQ31" s="817"/>
      <c r="BR31" s="821"/>
      <c r="BS31" s="821"/>
      <c r="BT31" s="821"/>
      <c r="BU31" s="821"/>
      <c r="BV31" s="821"/>
      <c r="BW31" s="822"/>
    </row>
    <row r="32" spans="1:107" ht="24.75" customHeight="1">
      <c r="A32" s="854"/>
      <c r="B32" s="23" t="s">
        <v>10</v>
      </c>
      <c r="C32" s="150"/>
      <c r="D32" s="27"/>
      <c r="E32" s="25" t="s">
        <v>18</v>
      </c>
      <c r="F32" s="792" t="s">
        <v>65</v>
      </c>
      <c r="G32" s="817"/>
      <c r="H32" s="817"/>
      <c r="I32" s="817"/>
      <c r="J32" s="817"/>
      <c r="K32" s="817"/>
      <c r="L32" s="817"/>
      <c r="M32" s="817"/>
      <c r="N32" s="817"/>
      <c r="O32" s="853"/>
      <c r="P32" s="845"/>
      <c r="Q32" s="23" t="s">
        <v>10</v>
      </c>
      <c r="R32" s="150"/>
      <c r="S32" s="27"/>
      <c r="T32" s="25" t="s">
        <v>18</v>
      </c>
      <c r="U32" s="792" t="s">
        <v>65</v>
      </c>
      <c r="V32" s="817"/>
      <c r="W32" s="817"/>
      <c r="X32" s="817"/>
      <c r="Y32" s="817"/>
      <c r="Z32" s="817"/>
      <c r="AA32" s="817"/>
      <c r="AB32" s="817"/>
      <c r="AC32" s="817"/>
      <c r="AD32" s="817"/>
      <c r="AE32" s="854"/>
      <c r="AF32" s="23" t="s">
        <v>10</v>
      </c>
      <c r="AG32" s="150"/>
      <c r="AH32" s="153"/>
      <c r="AI32" s="25" t="s">
        <v>18</v>
      </c>
      <c r="AJ32" s="792" t="s">
        <v>65</v>
      </c>
      <c r="AK32" s="817"/>
      <c r="AL32" s="817"/>
      <c r="AM32" s="817"/>
      <c r="AN32" s="817"/>
      <c r="AO32" s="817"/>
      <c r="AP32" s="817"/>
      <c r="AQ32" s="817"/>
      <c r="AR32" s="817"/>
      <c r="AS32" s="853"/>
      <c r="AT32" s="854"/>
      <c r="AU32" s="23" t="s">
        <v>10</v>
      </c>
      <c r="AV32" s="150"/>
      <c r="AW32" s="153"/>
      <c r="AX32" s="25" t="s">
        <v>18</v>
      </c>
      <c r="AY32" s="792" t="s">
        <v>65</v>
      </c>
      <c r="AZ32" s="817"/>
      <c r="BA32" s="817"/>
      <c r="BB32" s="817"/>
      <c r="BC32" s="817"/>
      <c r="BD32" s="817"/>
      <c r="BE32" s="817"/>
      <c r="BF32" s="817"/>
      <c r="BG32" s="817"/>
      <c r="BH32" s="853"/>
      <c r="BI32" s="854"/>
      <c r="BJ32" s="23" t="s">
        <v>10</v>
      </c>
      <c r="BK32" s="150"/>
      <c r="BL32" s="153"/>
      <c r="BM32" s="25" t="s">
        <v>18</v>
      </c>
      <c r="BN32" s="792" t="s">
        <v>65</v>
      </c>
      <c r="BO32" s="817"/>
      <c r="BP32" s="817"/>
      <c r="BQ32" s="817"/>
      <c r="BR32" s="817"/>
      <c r="BS32" s="817"/>
      <c r="BT32" s="817"/>
      <c r="BU32" s="817"/>
      <c r="BV32" s="817"/>
      <c r="BW32" s="853"/>
    </row>
    <row r="33" spans="1:75" ht="24.75" customHeight="1">
      <c r="A33" s="854"/>
      <c r="B33" s="23" t="s">
        <v>11</v>
      </c>
      <c r="C33" s="150"/>
      <c r="D33" s="27"/>
      <c r="E33" s="25" t="s">
        <v>18</v>
      </c>
      <c r="F33" s="792" t="s">
        <v>65</v>
      </c>
      <c r="G33" s="817"/>
      <c r="H33" s="817"/>
      <c r="I33" s="817"/>
      <c r="J33" s="817"/>
      <c r="K33" s="817"/>
      <c r="L33" s="817"/>
      <c r="M33" s="817"/>
      <c r="N33" s="817"/>
      <c r="O33" s="853"/>
      <c r="P33" s="845"/>
      <c r="Q33" s="23" t="s">
        <v>11</v>
      </c>
      <c r="R33" s="150"/>
      <c r="S33" s="27"/>
      <c r="T33" s="25" t="s">
        <v>18</v>
      </c>
      <c r="U33" s="792" t="s">
        <v>65</v>
      </c>
      <c r="V33" s="817"/>
      <c r="W33" s="817"/>
      <c r="X33" s="817"/>
      <c r="Y33" s="817"/>
      <c r="Z33" s="817"/>
      <c r="AA33" s="817"/>
      <c r="AB33" s="817"/>
      <c r="AC33" s="817"/>
      <c r="AD33" s="817"/>
      <c r="AE33" s="854"/>
      <c r="AF33" s="23" t="s">
        <v>11</v>
      </c>
      <c r="AG33" s="150"/>
      <c r="AH33" s="153"/>
      <c r="AI33" s="25" t="s">
        <v>18</v>
      </c>
      <c r="AJ33" s="792" t="s">
        <v>65</v>
      </c>
      <c r="AK33" s="817"/>
      <c r="AL33" s="817"/>
      <c r="AM33" s="817"/>
      <c r="AN33" s="817"/>
      <c r="AO33" s="817"/>
      <c r="AP33" s="817"/>
      <c r="AQ33" s="817"/>
      <c r="AR33" s="817"/>
      <c r="AS33" s="853"/>
      <c r="AT33" s="854"/>
      <c r="AU33" s="23" t="s">
        <v>11</v>
      </c>
      <c r="AV33" s="150"/>
      <c r="AW33" s="153"/>
      <c r="AX33" s="25" t="s">
        <v>18</v>
      </c>
      <c r="AY33" s="792" t="s">
        <v>65</v>
      </c>
      <c r="AZ33" s="817"/>
      <c r="BA33" s="817"/>
      <c r="BB33" s="817"/>
      <c r="BC33" s="817"/>
      <c r="BD33" s="817"/>
      <c r="BE33" s="817"/>
      <c r="BF33" s="817"/>
      <c r="BG33" s="817"/>
      <c r="BH33" s="853"/>
      <c r="BI33" s="854"/>
      <c r="BJ33" s="23" t="s">
        <v>11</v>
      </c>
      <c r="BK33" s="150"/>
      <c r="BL33" s="153"/>
      <c r="BM33" s="25" t="s">
        <v>18</v>
      </c>
      <c r="BN33" s="792" t="s">
        <v>65</v>
      </c>
      <c r="BO33" s="817"/>
      <c r="BP33" s="817"/>
      <c r="BQ33" s="817"/>
      <c r="BR33" s="817"/>
      <c r="BS33" s="817"/>
      <c r="BT33" s="817"/>
      <c r="BU33" s="817"/>
      <c r="BV33" s="817"/>
      <c r="BW33" s="853"/>
    </row>
    <row r="34" spans="1:75" ht="24.75" customHeight="1">
      <c r="A34" s="854"/>
      <c r="B34" s="23" t="s">
        <v>12</v>
      </c>
      <c r="C34" s="150"/>
      <c r="D34" s="27"/>
      <c r="E34" s="25" t="s">
        <v>18</v>
      </c>
      <c r="F34" s="792" t="s">
        <v>65</v>
      </c>
      <c r="G34" s="817"/>
      <c r="H34" s="817"/>
      <c r="I34" s="817"/>
      <c r="J34" s="817"/>
      <c r="K34" s="817"/>
      <c r="L34" s="817"/>
      <c r="M34" s="817"/>
      <c r="N34" s="817"/>
      <c r="O34" s="853"/>
      <c r="P34" s="827"/>
      <c r="Q34" s="23" t="s">
        <v>12</v>
      </c>
      <c r="R34" s="150"/>
      <c r="S34" s="27"/>
      <c r="T34" s="25" t="s">
        <v>18</v>
      </c>
      <c r="U34" s="792" t="s">
        <v>65</v>
      </c>
      <c r="V34" s="817"/>
      <c r="W34" s="817"/>
      <c r="X34" s="817"/>
      <c r="Y34" s="817"/>
      <c r="Z34" s="817"/>
      <c r="AA34" s="817"/>
      <c r="AB34" s="817"/>
      <c r="AC34" s="817"/>
      <c r="AD34" s="817"/>
      <c r="AE34" s="854"/>
      <c r="AF34" s="23" t="s">
        <v>12</v>
      </c>
      <c r="AG34" s="150"/>
      <c r="AH34" s="153"/>
      <c r="AI34" s="25" t="s">
        <v>18</v>
      </c>
      <c r="AJ34" s="792" t="s">
        <v>65</v>
      </c>
      <c r="AK34" s="817"/>
      <c r="AL34" s="817"/>
      <c r="AM34" s="817"/>
      <c r="AN34" s="817"/>
      <c r="AO34" s="817"/>
      <c r="AP34" s="817"/>
      <c r="AQ34" s="817"/>
      <c r="AR34" s="817"/>
      <c r="AS34" s="853"/>
      <c r="AT34" s="854"/>
      <c r="AU34" s="23" t="s">
        <v>12</v>
      </c>
      <c r="AV34" s="150"/>
      <c r="AW34" s="153"/>
      <c r="AX34" s="25" t="s">
        <v>18</v>
      </c>
      <c r="AY34" s="792" t="s">
        <v>65</v>
      </c>
      <c r="AZ34" s="817"/>
      <c r="BA34" s="817"/>
      <c r="BB34" s="817"/>
      <c r="BC34" s="817"/>
      <c r="BD34" s="817"/>
      <c r="BE34" s="817"/>
      <c r="BF34" s="817"/>
      <c r="BG34" s="817"/>
      <c r="BH34" s="853"/>
      <c r="BI34" s="854"/>
      <c r="BJ34" s="23" t="s">
        <v>12</v>
      </c>
      <c r="BK34" s="150"/>
      <c r="BL34" s="153"/>
      <c r="BM34" s="25" t="s">
        <v>18</v>
      </c>
      <c r="BN34" s="792" t="s">
        <v>65</v>
      </c>
      <c r="BO34" s="817"/>
      <c r="BP34" s="817"/>
      <c r="BQ34" s="817"/>
      <c r="BR34" s="817"/>
      <c r="BS34" s="817"/>
      <c r="BT34" s="817"/>
      <c r="BU34" s="817"/>
      <c r="BV34" s="817"/>
      <c r="BW34" s="853"/>
    </row>
    <row r="35" spans="1:75" ht="24.75" customHeight="1">
      <c r="A35" s="854"/>
      <c r="B35" s="23" t="s">
        <v>13</v>
      </c>
      <c r="C35" s="150"/>
      <c r="D35" s="27"/>
      <c r="E35" s="25" t="s">
        <v>138</v>
      </c>
      <c r="F35" s="792" t="s">
        <v>54</v>
      </c>
      <c r="G35" s="817"/>
      <c r="H35" s="817"/>
      <c r="I35" s="817"/>
      <c r="J35" s="817"/>
      <c r="K35" s="817"/>
      <c r="L35" s="817"/>
      <c r="M35" s="817"/>
      <c r="N35" s="817"/>
      <c r="O35" s="853"/>
      <c r="P35" s="794"/>
      <c r="Q35" s="795"/>
      <c r="R35" s="795"/>
      <c r="S35" s="795"/>
      <c r="T35" s="795"/>
      <c r="U35" s="795"/>
      <c r="V35" s="795"/>
      <c r="W35" s="795"/>
      <c r="X35" s="795"/>
      <c r="Y35" s="795"/>
      <c r="Z35" s="795"/>
      <c r="AA35" s="795"/>
      <c r="AB35" s="795"/>
      <c r="AC35" s="795"/>
      <c r="AD35" s="796"/>
      <c r="AE35" s="854"/>
      <c r="AF35" s="23" t="s">
        <v>13</v>
      </c>
      <c r="AG35" s="150"/>
      <c r="AH35" s="153"/>
      <c r="AI35" s="25" t="s">
        <v>138</v>
      </c>
      <c r="AJ35" s="792" t="s">
        <v>54</v>
      </c>
      <c r="AK35" s="817"/>
      <c r="AL35" s="817"/>
      <c r="AM35" s="817"/>
      <c r="AN35" s="817"/>
      <c r="AO35" s="817"/>
      <c r="AP35" s="817"/>
      <c r="AQ35" s="817"/>
      <c r="AR35" s="817"/>
      <c r="AS35" s="853"/>
      <c r="AT35" s="854"/>
      <c r="AU35" s="23" t="s">
        <v>13</v>
      </c>
      <c r="AV35" s="150"/>
      <c r="AW35" s="153"/>
      <c r="AX35" s="25" t="s">
        <v>138</v>
      </c>
      <c r="AY35" s="792" t="s">
        <v>54</v>
      </c>
      <c r="AZ35" s="817"/>
      <c r="BA35" s="817"/>
      <c r="BB35" s="817"/>
      <c r="BC35" s="817"/>
      <c r="BD35" s="817"/>
      <c r="BE35" s="817"/>
      <c r="BF35" s="817"/>
      <c r="BG35" s="817"/>
      <c r="BH35" s="853"/>
      <c r="BI35" s="854"/>
      <c r="BJ35" s="23" t="s">
        <v>13</v>
      </c>
      <c r="BK35" s="150"/>
      <c r="BL35" s="153"/>
      <c r="BM35" s="25" t="s">
        <v>138</v>
      </c>
      <c r="BN35" s="792" t="s">
        <v>54</v>
      </c>
      <c r="BO35" s="817"/>
      <c r="BP35" s="817"/>
      <c r="BQ35" s="817"/>
      <c r="BR35" s="817"/>
      <c r="BS35" s="817"/>
      <c r="BT35" s="817"/>
      <c r="BU35" s="817"/>
      <c r="BV35" s="817"/>
      <c r="BW35" s="853"/>
    </row>
    <row r="36" spans="1:75" ht="24.75" customHeight="1">
      <c r="A36" s="854"/>
      <c r="B36" s="23" t="s">
        <v>14</v>
      </c>
      <c r="C36" s="150"/>
      <c r="D36" s="27"/>
      <c r="E36" s="25" t="s">
        <v>138</v>
      </c>
      <c r="F36" s="792" t="s">
        <v>66</v>
      </c>
      <c r="G36" s="817"/>
      <c r="H36" s="817"/>
      <c r="I36" s="817"/>
      <c r="J36" s="817"/>
      <c r="K36" s="817"/>
      <c r="L36" s="817"/>
      <c r="M36" s="817"/>
      <c r="N36" s="817"/>
      <c r="O36" s="853"/>
      <c r="P36" s="797"/>
      <c r="Q36" s="798"/>
      <c r="R36" s="798"/>
      <c r="S36" s="798"/>
      <c r="T36" s="798"/>
      <c r="U36" s="798"/>
      <c r="V36" s="798"/>
      <c r="W36" s="798"/>
      <c r="X36" s="798"/>
      <c r="Y36" s="798"/>
      <c r="Z36" s="798"/>
      <c r="AA36" s="798"/>
      <c r="AB36" s="798"/>
      <c r="AC36" s="798"/>
      <c r="AD36" s="799"/>
      <c r="AE36" s="854"/>
      <c r="AF36" s="23" t="s">
        <v>14</v>
      </c>
      <c r="AG36" s="150"/>
      <c r="AH36" s="153"/>
      <c r="AI36" s="25" t="s">
        <v>138</v>
      </c>
      <c r="AJ36" s="792" t="s">
        <v>66</v>
      </c>
      <c r="AK36" s="817"/>
      <c r="AL36" s="817"/>
      <c r="AM36" s="817"/>
      <c r="AN36" s="817"/>
      <c r="AO36" s="817"/>
      <c r="AP36" s="817"/>
      <c r="AQ36" s="817"/>
      <c r="AR36" s="817"/>
      <c r="AS36" s="853"/>
      <c r="AT36" s="854"/>
      <c r="AU36" s="23" t="s">
        <v>14</v>
      </c>
      <c r="AV36" s="150"/>
      <c r="AW36" s="153"/>
      <c r="AX36" s="25" t="s">
        <v>138</v>
      </c>
      <c r="AY36" s="792" t="s">
        <v>66</v>
      </c>
      <c r="AZ36" s="817"/>
      <c r="BA36" s="817"/>
      <c r="BB36" s="817"/>
      <c r="BC36" s="817"/>
      <c r="BD36" s="817"/>
      <c r="BE36" s="817"/>
      <c r="BF36" s="817"/>
      <c r="BG36" s="817"/>
      <c r="BH36" s="853"/>
      <c r="BI36" s="854"/>
      <c r="BJ36" s="23" t="s">
        <v>14</v>
      </c>
      <c r="BK36" s="150"/>
      <c r="BL36" s="153"/>
      <c r="BM36" s="25" t="s">
        <v>138</v>
      </c>
      <c r="BN36" s="792" t="s">
        <v>66</v>
      </c>
      <c r="BO36" s="817"/>
      <c r="BP36" s="817"/>
      <c r="BQ36" s="817"/>
      <c r="BR36" s="817"/>
      <c r="BS36" s="817"/>
      <c r="BT36" s="817"/>
      <c r="BU36" s="817"/>
      <c r="BV36" s="817"/>
      <c r="BW36" s="853"/>
    </row>
    <row r="37" spans="1:75" ht="24.75" customHeight="1">
      <c r="A37" s="854"/>
      <c r="B37" s="23" t="s">
        <v>22</v>
      </c>
      <c r="C37" s="150"/>
      <c r="D37" s="27"/>
      <c r="E37" s="25" t="s">
        <v>20</v>
      </c>
      <c r="F37" s="792" t="s">
        <v>67</v>
      </c>
      <c r="G37" s="817"/>
      <c r="H37" s="817"/>
      <c r="I37" s="817"/>
      <c r="J37" s="817"/>
      <c r="K37" s="817"/>
      <c r="L37" s="817"/>
      <c r="M37" s="817"/>
      <c r="N37" s="817"/>
      <c r="O37" s="853"/>
      <c r="P37" s="800"/>
      <c r="Q37" s="801"/>
      <c r="R37" s="801"/>
      <c r="S37" s="801"/>
      <c r="T37" s="801"/>
      <c r="U37" s="801"/>
      <c r="V37" s="801"/>
      <c r="W37" s="801"/>
      <c r="X37" s="801"/>
      <c r="Y37" s="801"/>
      <c r="Z37" s="801"/>
      <c r="AA37" s="801"/>
      <c r="AB37" s="801"/>
      <c r="AC37" s="801"/>
      <c r="AD37" s="802"/>
      <c r="AE37" s="854"/>
      <c r="AF37" s="23" t="s">
        <v>22</v>
      </c>
      <c r="AG37" s="150"/>
      <c r="AH37" s="153"/>
      <c r="AI37" s="25" t="s">
        <v>20</v>
      </c>
      <c r="AJ37" s="792" t="s">
        <v>67</v>
      </c>
      <c r="AK37" s="817"/>
      <c r="AL37" s="817"/>
      <c r="AM37" s="817"/>
      <c r="AN37" s="817"/>
      <c r="AO37" s="817"/>
      <c r="AP37" s="817"/>
      <c r="AQ37" s="817"/>
      <c r="AR37" s="817"/>
      <c r="AS37" s="853"/>
      <c r="AT37" s="854"/>
      <c r="AU37" s="23" t="s">
        <v>22</v>
      </c>
      <c r="AV37" s="150"/>
      <c r="AW37" s="153"/>
      <c r="AX37" s="25" t="s">
        <v>20</v>
      </c>
      <c r="AY37" s="792" t="s">
        <v>67</v>
      </c>
      <c r="AZ37" s="817"/>
      <c r="BA37" s="817"/>
      <c r="BB37" s="817"/>
      <c r="BC37" s="817"/>
      <c r="BD37" s="817"/>
      <c r="BE37" s="817"/>
      <c r="BF37" s="817"/>
      <c r="BG37" s="817"/>
      <c r="BH37" s="853"/>
      <c r="BI37" s="854"/>
      <c r="BJ37" s="23" t="s">
        <v>22</v>
      </c>
      <c r="BK37" s="150"/>
      <c r="BL37" s="153"/>
      <c r="BM37" s="25" t="s">
        <v>20</v>
      </c>
      <c r="BN37" s="792" t="s">
        <v>67</v>
      </c>
      <c r="BO37" s="817"/>
      <c r="BP37" s="817"/>
      <c r="BQ37" s="817"/>
      <c r="BR37" s="817"/>
      <c r="BS37" s="817"/>
      <c r="BT37" s="817"/>
      <c r="BU37" s="817"/>
      <c r="BV37" s="817"/>
      <c r="BW37" s="853"/>
    </row>
    <row r="38" spans="1:75" ht="24.75" customHeight="1">
      <c r="A38" s="859" t="s">
        <v>133</v>
      </c>
      <c r="B38" s="149"/>
      <c r="C38" s="150"/>
      <c r="D38" s="792"/>
      <c r="E38" s="793"/>
      <c r="F38" s="861" t="s">
        <v>357</v>
      </c>
      <c r="G38" s="861"/>
      <c r="H38" s="879"/>
      <c r="I38" s="879"/>
      <c r="J38" s="861" t="s">
        <v>270</v>
      </c>
      <c r="K38" s="861"/>
      <c r="L38" s="861"/>
      <c r="M38" s="870"/>
      <c r="N38" s="821"/>
      <c r="O38" s="822"/>
      <c r="P38" s="859" t="s">
        <v>133</v>
      </c>
      <c r="Q38" s="149"/>
      <c r="R38" s="150"/>
      <c r="S38" s="792"/>
      <c r="T38" s="793"/>
      <c r="U38" s="861" t="s">
        <v>357</v>
      </c>
      <c r="V38" s="861"/>
      <c r="W38" s="879"/>
      <c r="X38" s="879"/>
      <c r="Y38" s="861" t="s">
        <v>270</v>
      </c>
      <c r="Z38" s="861"/>
      <c r="AA38" s="861"/>
      <c r="AB38" s="870"/>
      <c r="AC38" s="821"/>
      <c r="AD38" s="822"/>
      <c r="AE38" s="859" t="s">
        <v>133</v>
      </c>
      <c r="AF38" s="149"/>
      <c r="AG38" s="150"/>
      <c r="AH38" s="792"/>
      <c r="AI38" s="793"/>
      <c r="AJ38" s="861" t="s">
        <v>357</v>
      </c>
      <c r="AK38" s="861"/>
      <c r="AL38" s="879"/>
      <c r="AM38" s="879"/>
      <c r="AN38" s="861" t="s">
        <v>270</v>
      </c>
      <c r="AO38" s="861"/>
      <c r="AP38" s="861"/>
      <c r="AQ38" s="870"/>
      <c r="AR38" s="821"/>
      <c r="AS38" s="822"/>
      <c r="AT38" s="859" t="s">
        <v>133</v>
      </c>
      <c r="AU38" s="149"/>
      <c r="AV38" s="150"/>
      <c r="AW38" s="792"/>
      <c r="AX38" s="793"/>
      <c r="AY38" s="861" t="s">
        <v>357</v>
      </c>
      <c r="AZ38" s="861"/>
      <c r="BA38" s="879"/>
      <c r="BB38" s="879"/>
      <c r="BC38" s="861" t="s">
        <v>270</v>
      </c>
      <c r="BD38" s="861"/>
      <c r="BE38" s="861"/>
      <c r="BF38" s="870"/>
      <c r="BG38" s="821"/>
      <c r="BH38" s="822"/>
      <c r="BI38" s="859" t="s">
        <v>133</v>
      </c>
      <c r="BJ38" s="149"/>
      <c r="BK38" s="150"/>
      <c r="BL38" s="792"/>
      <c r="BM38" s="793"/>
      <c r="BN38" s="861" t="s">
        <v>357</v>
      </c>
      <c r="BO38" s="861"/>
      <c r="BP38" s="879"/>
      <c r="BQ38" s="879"/>
      <c r="BR38" s="861" t="s">
        <v>270</v>
      </c>
      <c r="BS38" s="861"/>
      <c r="BT38" s="861"/>
      <c r="BU38" s="870"/>
      <c r="BV38" s="821"/>
      <c r="BW38" s="822"/>
    </row>
    <row r="39" spans="1:75" ht="24.75" customHeight="1">
      <c r="A39" s="786"/>
      <c r="B39" s="149"/>
      <c r="C39" s="150"/>
      <c r="D39" s="792"/>
      <c r="E39" s="793"/>
      <c r="F39" s="861" t="s">
        <v>357</v>
      </c>
      <c r="G39" s="861"/>
      <c r="H39" s="879"/>
      <c r="I39" s="879"/>
      <c r="J39" s="861" t="s">
        <v>270</v>
      </c>
      <c r="K39" s="861"/>
      <c r="L39" s="861"/>
      <c r="M39" s="870"/>
      <c r="N39" s="821"/>
      <c r="O39" s="822"/>
      <c r="P39" s="786"/>
      <c r="Q39" s="149"/>
      <c r="R39" s="150"/>
      <c r="S39" s="792"/>
      <c r="T39" s="793"/>
      <c r="U39" s="861" t="s">
        <v>357</v>
      </c>
      <c r="V39" s="861"/>
      <c r="W39" s="879"/>
      <c r="X39" s="879"/>
      <c r="Y39" s="861" t="s">
        <v>270</v>
      </c>
      <c r="Z39" s="861"/>
      <c r="AA39" s="861"/>
      <c r="AB39" s="870"/>
      <c r="AC39" s="821"/>
      <c r="AD39" s="822"/>
      <c r="AE39" s="786"/>
      <c r="AF39" s="149"/>
      <c r="AG39" s="150"/>
      <c r="AH39" s="792"/>
      <c r="AI39" s="793"/>
      <c r="AJ39" s="861" t="s">
        <v>357</v>
      </c>
      <c r="AK39" s="861"/>
      <c r="AL39" s="879"/>
      <c r="AM39" s="879"/>
      <c r="AN39" s="861" t="s">
        <v>270</v>
      </c>
      <c r="AO39" s="861"/>
      <c r="AP39" s="861"/>
      <c r="AQ39" s="870"/>
      <c r="AR39" s="821"/>
      <c r="AS39" s="822"/>
      <c r="AT39" s="786"/>
      <c r="AU39" s="149"/>
      <c r="AV39" s="150"/>
      <c r="AW39" s="792"/>
      <c r="AX39" s="793"/>
      <c r="AY39" s="861" t="s">
        <v>357</v>
      </c>
      <c r="AZ39" s="861"/>
      <c r="BA39" s="879"/>
      <c r="BB39" s="879"/>
      <c r="BC39" s="861" t="s">
        <v>270</v>
      </c>
      <c r="BD39" s="861"/>
      <c r="BE39" s="861"/>
      <c r="BF39" s="870"/>
      <c r="BG39" s="821"/>
      <c r="BH39" s="822"/>
      <c r="BI39" s="786"/>
      <c r="BJ39" s="149"/>
      <c r="BK39" s="150"/>
      <c r="BL39" s="792"/>
      <c r="BM39" s="793"/>
      <c r="BN39" s="861" t="s">
        <v>357</v>
      </c>
      <c r="BO39" s="861"/>
      <c r="BP39" s="879"/>
      <c r="BQ39" s="879"/>
      <c r="BR39" s="861" t="s">
        <v>270</v>
      </c>
      <c r="BS39" s="861"/>
      <c r="BT39" s="861"/>
      <c r="BU39" s="870"/>
      <c r="BV39" s="821"/>
      <c r="BW39" s="822"/>
    </row>
    <row r="40" spans="1:75" ht="24.75" customHeight="1">
      <c r="A40" s="786"/>
      <c r="B40" s="149"/>
      <c r="C40" s="150"/>
      <c r="D40" s="792"/>
      <c r="E40" s="793"/>
      <c r="F40" s="861" t="s">
        <v>357</v>
      </c>
      <c r="G40" s="861"/>
      <c r="H40" s="879"/>
      <c r="I40" s="879"/>
      <c r="J40" s="861" t="s">
        <v>270</v>
      </c>
      <c r="K40" s="861"/>
      <c r="L40" s="861"/>
      <c r="M40" s="870"/>
      <c r="N40" s="821"/>
      <c r="O40" s="822"/>
      <c r="P40" s="786"/>
      <c r="Q40" s="149"/>
      <c r="R40" s="150"/>
      <c r="S40" s="792"/>
      <c r="T40" s="793"/>
      <c r="U40" s="861" t="s">
        <v>357</v>
      </c>
      <c r="V40" s="861"/>
      <c r="W40" s="879"/>
      <c r="X40" s="879"/>
      <c r="Y40" s="861" t="s">
        <v>270</v>
      </c>
      <c r="Z40" s="861"/>
      <c r="AA40" s="861"/>
      <c r="AB40" s="870"/>
      <c r="AC40" s="821"/>
      <c r="AD40" s="822"/>
      <c r="AE40" s="786"/>
      <c r="AF40" s="149"/>
      <c r="AG40" s="150"/>
      <c r="AH40" s="792"/>
      <c r="AI40" s="793"/>
      <c r="AJ40" s="861" t="s">
        <v>357</v>
      </c>
      <c r="AK40" s="861"/>
      <c r="AL40" s="879"/>
      <c r="AM40" s="879"/>
      <c r="AN40" s="861" t="s">
        <v>270</v>
      </c>
      <c r="AO40" s="861"/>
      <c r="AP40" s="861"/>
      <c r="AQ40" s="870"/>
      <c r="AR40" s="821"/>
      <c r="AS40" s="822"/>
      <c r="AT40" s="786"/>
      <c r="AU40" s="149"/>
      <c r="AV40" s="150"/>
      <c r="AW40" s="792"/>
      <c r="AX40" s="793"/>
      <c r="AY40" s="861" t="s">
        <v>357</v>
      </c>
      <c r="AZ40" s="861"/>
      <c r="BA40" s="879"/>
      <c r="BB40" s="879"/>
      <c r="BC40" s="861" t="s">
        <v>270</v>
      </c>
      <c r="BD40" s="861"/>
      <c r="BE40" s="861"/>
      <c r="BF40" s="870"/>
      <c r="BG40" s="821"/>
      <c r="BH40" s="822"/>
      <c r="BI40" s="786"/>
      <c r="BJ40" s="149"/>
      <c r="BK40" s="150"/>
      <c r="BL40" s="792"/>
      <c r="BM40" s="793"/>
      <c r="BN40" s="861" t="s">
        <v>357</v>
      </c>
      <c r="BO40" s="861"/>
      <c r="BP40" s="879"/>
      <c r="BQ40" s="879"/>
      <c r="BR40" s="861" t="s">
        <v>270</v>
      </c>
      <c r="BS40" s="861"/>
      <c r="BT40" s="861"/>
      <c r="BU40" s="870"/>
      <c r="BV40" s="821"/>
      <c r="BW40" s="822"/>
    </row>
    <row r="41" spans="1:75" ht="24.75" customHeight="1">
      <c r="A41" s="787"/>
      <c r="B41" s="149"/>
      <c r="C41" s="150"/>
      <c r="D41" s="792"/>
      <c r="E41" s="793"/>
      <c r="F41" s="861" t="s">
        <v>357</v>
      </c>
      <c r="G41" s="861"/>
      <c r="H41" s="879"/>
      <c r="I41" s="879"/>
      <c r="J41" s="861" t="s">
        <v>270</v>
      </c>
      <c r="K41" s="861"/>
      <c r="L41" s="861"/>
      <c r="M41" s="870"/>
      <c r="N41" s="821"/>
      <c r="O41" s="822"/>
      <c r="P41" s="787"/>
      <c r="Q41" s="149"/>
      <c r="R41" s="150"/>
      <c r="S41" s="792"/>
      <c r="T41" s="793"/>
      <c r="U41" s="861" t="s">
        <v>357</v>
      </c>
      <c r="V41" s="861"/>
      <c r="W41" s="879"/>
      <c r="X41" s="879"/>
      <c r="Y41" s="861" t="s">
        <v>270</v>
      </c>
      <c r="Z41" s="861"/>
      <c r="AA41" s="861"/>
      <c r="AB41" s="870"/>
      <c r="AC41" s="821"/>
      <c r="AD41" s="822"/>
      <c r="AE41" s="787"/>
      <c r="AF41" s="149"/>
      <c r="AG41" s="150"/>
      <c r="AH41" s="792"/>
      <c r="AI41" s="793"/>
      <c r="AJ41" s="861" t="s">
        <v>357</v>
      </c>
      <c r="AK41" s="861"/>
      <c r="AL41" s="879"/>
      <c r="AM41" s="879"/>
      <c r="AN41" s="861" t="s">
        <v>270</v>
      </c>
      <c r="AO41" s="861"/>
      <c r="AP41" s="861"/>
      <c r="AQ41" s="870"/>
      <c r="AR41" s="821"/>
      <c r="AS41" s="822"/>
      <c r="AT41" s="787"/>
      <c r="AU41" s="149"/>
      <c r="AV41" s="150"/>
      <c r="AW41" s="792"/>
      <c r="AX41" s="793"/>
      <c r="AY41" s="861" t="s">
        <v>357</v>
      </c>
      <c r="AZ41" s="861"/>
      <c r="BA41" s="879"/>
      <c r="BB41" s="879"/>
      <c r="BC41" s="861" t="s">
        <v>270</v>
      </c>
      <c r="BD41" s="861"/>
      <c r="BE41" s="861"/>
      <c r="BF41" s="870"/>
      <c r="BG41" s="821"/>
      <c r="BH41" s="822"/>
      <c r="BI41" s="787"/>
      <c r="BJ41" s="149"/>
      <c r="BK41" s="150"/>
      <c r="BL41" s="792"/>
      <c r="BM41" s="793"/>
      <c r="BN41" s="861" t="s">
        <v>357</v>
      </c>
      <c r="BO41" s="861"/>
      <c r="BP41" s="879"/>
      <c r="BQ41" s="879"/>
      <c r="BR41" s="861" t="s">
        <v>270</v>
      </c>
      <c r="BS41" s="861"/>
      <c r="BT41" s="861"/>
      <c r="BU41" s="870"/>
      <c r="BV41" s="821"/>
      <c r="BW41" s="822"/>
    </row>
    <row r="42" spans="1:75" ht="24.75" customHeight="1">
      <c r="A42" s="859" t="s">
        <v>344</v>
      </c>
      <c r="B42" s="304"/>
      <c r="C42" s="305"/>
      <c r="D42" s="826"/>
      <c r="E42" s="827"/>
      <c r="F42" s="846"/>
      <c r="G42" s="847"/>
      <c r="H42" s="810"/>
      <c r="I42" s="810"/>
      <c r="J42" s="810"/>
      <c r="K42" s="810"/>
      <c r="L42" s="810"/>
      <c r="M42" s="810"/>
      <c r="N42" s="810"/>
      <c r="O42" s="811"/>
      <c r="P42" s="859" t="s">
        <v>344</v>
      </c>
      <c r="Q42" s="304"/>
      <c r="R42" s="305"/>
      <c r="S42" s="826"/>
      <c r="T42" s="827"/>
      <c r="U42" s="846"/>
      <c r="V42" s="847"/>
      <c r="W42" s="810"/>
      <c r="X42" s="810"/>
      <c r="Y42" s="810"/>
      <c r="Z42" s="810"/>
      <c r="AA42" s="810"/>
      <c r="AB42" s="810"/>
      <c r="AC42" s="810"/>
      <c r="AD42" s="811"/>
      <c r="AE42" s="859" t="s">
        <v>344</v>
      </c>
      <c r="AF42" s="304"/>
      <c r="AG42" s="305"/>
      <c r="AH42" s="826"/>
      <c r="AI42" s="827"/>
      <c r="AJ42" s="846"/>
      <c r="AK42" s="847"/>
      <c r="AL42" s="810"/>
      <c r="AM42" s="810"/>
      <c r="AN42" s="810"/>
      <c r="AO42" s="810"/>
      <c r="AP42" s="810"/>
      <c r="AQ42" s="810"/>
      <c r="AR42" s="810"/>
      <c r="AS42" s="811"/>
      <c r="AT42" s="859" t="s">
        <v>344</v>
      </c>
      <c r="AU42" s="304"/>
      <c r="AV42" s="305"/>
      <c r="AW42" s="826"/>
      <c r="AX42" s="827"/>
      <c r="AY42" s="846"/>
      <c r="AZ42" s="847"/>
      <c r="BA42" s="810"/>
      <c r="BB42" s="810"/>
      <c r="BC42" s="810"/>
      <c r="BD42" s="810"/>
      <c r="BE42" s="810"/>
      <c r="BF42" s="810"/>
      <c r="BG42" s="810"/>
      <c r="BH42" s="811"/>
      <c r="BI42" s="859" t="s">
        <v>344</v>
      </c>
      <c r="BJ42" s="304"/>
      <c r="BK42" s="305"/>
      <c r="BL42" s="826"/>
      <c r="BM42" s="827"/>
      <c r="BN42" s="846"/>
      <c r="BO42" s="847"/>
      <c r="BP42" s="810"/>
      <c r="BQ42" s="810"/>
      <c r="BR42" s="810"/>
      <c r="BS42" s="810"/>
      <c r="BT42" s="810"/>
      <c r="BU42" s="810"/>
      <c r="BV42" s="810"/>
      <c r="BW42" s="811"/>
    </row>
    <row r="43" spans="1:75" ht="24.75" customHeight="1">
      <c r="A43" s="786"/>
      <c r="B43" s="149"/>
      <c r="C43" s="150"/>
      <c r="D43" s="792"/>
      <c r="E43" s="793"/>
      <c r="F43" s="809"/>
      <c r="G43" s="810"/>
      <c r="H43" s="810"/>
      <c r="I43" s="810"/>
      <c r="J43" s="810"/>
      <c r="K43" s="810"/>
      <c r="L43" s="810"/>
      <c r="M43" s="810"/>
      <c r="N43" s="810"/>
      <c r="O43" s="811"/>
      <c r="P43" s="786"/>
      <c r="Q43" s="149"/>
      <c r="R43" s="150"/>
      <c r="S43" s="792"/>
      <c r="T43" s="793"/>
      <c r="U43" s="809"/>
      <c r="V43" s="810"/>
      <c r="W43" s="810"/>
      <c r="X43" s="810"/>
      <c r="Y43" s="810"/>
      <c r="Z43" s="810"/>
      <c r="AA43" s="810"/>
      <c r="AB43" s="810"/>
      <c r="AC43" s="810"/>
      <c r="AD43" s="811"/>
      <c r="AE43" s="786"/>
      <c r="AF43" s="149"/>
      <c r="AG43" s="150"/>
      <c r="AH43" s="792"/>
      <c r="AI43" s="793"/>
      <c r="AJ43" s="809"/>
      <c r="AK43" s="810"/>
      <c r="AL43" s="810"/>
      <c r="AM43" s="810"/>
      <c r="AN43" s="810"/>
      <c r="AO43" s="810"/>
      <c r="AP43" s="810"/>
      <c r="AQ43" s="810"/>
      <c r="AR43" s="810"/>
      <c r="AS43" s="811"/>
      <c r="AT43" s="786"/>
      <c r="AU43" s="149"/>
      <c r="AV43" s="150"/>
      <c r="AW43" s="792"/>
      <c r="AX43" s="793"/>
      <c r="AY43" s="809"/>
      <c r="AZ43" s="810"/>
      <c r="BA43" s="810"/>
      <c r="BB43" s="810"/>
      <c r="BC43" s="810"/>
      <c r="BD43" s="810"/>
      <c r="BE43" s="810"/>
      <c r="BF43" s="810"/>
      <c r="BG43" s="810"/>
      <c r="BH43" s="811"/>
      <c r="BI43" s="786"/>
      <c r="BJ43" s="149"/>
      <c r="BK43" s="150"/>
      <c r="BL43" s="792"/>
      <c r="BM43" s="793"/>
      <c r="BN43" s="809"/>
      <c r="BO43" s="810"/>
      <c r="BP43" s="810"/>
      <c r="BQ43" s="810"/>
      <c r="BR43" s="810"/>
      <c r="BS43" s="810"/>
      <c r="BT43" s="810"/>
      <c r="BU43" s="810"/>
      <c r="BV43" s="810"/>
      <c r="BW43" s="811"/>
    </row>
    <row r="44" spans="1:75" ht="24.75" customHeight="1">
      <c r="A44" s="786"/>
      <c r="B44" s="149"/>
      <c r="C44" s="150"/>
      <c r="D44" s="792"/>
      <c r="E44" s="793"/>
      <c r="F44" s="809"/>
      <c r="G44" s="810"/>
      <c r="H44" s="810"/>
      <c r="I44" s="810"/>
      <c r="J44" s="810"/>
      <c r="K44" s="810"/>
      <c r="L44" s="810"/>
      <c r="M44" s="810"/>
      <c r="N44" s="810"/>
      <c r="O44" s="811"/>
      <c r="P44" s="786"/>
      <c r="Q44" s="149"/>
      <c r="R44" s="150"/>
      <c r="S44" s="792"/>
      <c r="T44" s="793"/>
      <c r="U44" s="809"/>
      <c r="V44" s="810"/>
      <c r="W44" s="810"/>
      <c r="X44" s="810"/>
      <c r="Y44" s="810"/>
      <c r="Z44" s="810"/>
      <c r="AA44" s="810"/>
      <c r="AB44" s="810"/>
      <c r="AC44" s="810"/>
      <c r="AD44" s="811"/>
      <c r="AE44" s="786"/>
      <c r="AF44" s="149"/>
      <c r="AG44" s="150"/>
      <c r="AH44" s="792"/>
      <c r="AI44" s="793"/>
      <c r="AJ44" s="809"/>
      <c r="AK44" s="810"/>
      <c r="AL44" s="810"/>
      <c r="AM44" s="810"/>
      <c r="AN44" s="810"/>
      <c r="AO44" s="810"/>
      <c r="AP44" s="810"/>
      <c r="AQ44" s="810"/>
      <c r="AR44" s="810"/>
      <c r="AS44" s="811"/>
      <c r="AT44" s="786"/>
      <c r="AU44" s="149"/>
      <c r="AV44" s="150"/>
      <c r="AW44" s="792"/>
      <c r="AX44" s="793"/>
      <c r="AY44" s="809"/>
      <c r="AZ44" s="810"/>
      <c r="BA44" s="810"/>
      <c r="BB44" s="810"/>
      <c r="BC44" s="810"/>
      <c r="BD44" s="810"/>
      <c r="BE44" s="810"/>
      <c r="BF44" s="810"/>
      <c r="BG44" s="810"/>
      <c r="BH44" s="811"/>
      <c r="BI44" s="786"/>
      <c r="BJ44" s="149"/>
      <c r="BK44" s="150"/>
      <c r="BL44" s="792"/>
      <c r="BM44" s="793"/>
      <c r="BN44" s="809"/>
      <c r="BO44" s="810"/>
      <c r="BP44" s="810"/>
      <c r="BQ44" s="810"/>
      <c r="BR44" s="810"/>
      <c r="BS44" s="810"/>
      <c r="BT44" s="810"/>
      <c r="BU44" s="810"/>
      <c r="BV44" s="810"/>
      <c r="BW44" s="811"/>
    </row>
    <row r="45" spans="1:75" ht="24.75" customHeight="1" thickBot="1">
      <c r="A45" s="860"/>
      <c r="B45" s="151"/>
      <c r="C45" s="152"/>
      <c r="D45" s="848"/>
      <c r="E45" s="849"/>
      <c r="F45" s="850"/>
      <c r="G45" s="851"/>
      <c r="H45" s="851"/>
      <c r="I45" s="851"/>
      <c r="J45" s="851"/>
      <c r="K45" s="851"/>
      <c r="L45" s="851"/>
      <c r="M45" s="851"/>
      <c r="N45" s="851"/>
      <c r="O45" s="852"/>
      <c r="P45" s="860"/>
      <c r="Q45" s="151"/>
      <c r="R45" s="152"/>
      <c r="S45" s="848"/>
      <c r="T45" s="849"/>
      <c r="U45" s="850"/>
      <c r="V45" s="851"/>
      <c r="W45" s="851"/>
      <c r="X45" s="851"/>
      <c r="Y45" s="851"/>
      <c r="Z45" s="851"/>
      <c r="AA45" s="851"/>
      <c r="AB45" s="851"/>
      <c r="AC45" s="851"/>
      <c r="AD45" s="852"/>
      <c r="AE45" s="860"/>
      <c r="AF45" s="151"/>
      <c r="AG45" s="152"/>
      <c r="AH45" s="848"/>
      <c r="AI45" s="849"/>
      <c r="AJ45" s="850"/>
      <c r="AK45" s="851"/>
      <c r="AL45" s="851"/>
      <c r="AM45" s="851"/>
      <c r="AN45" s="851"/>
      <c r="AO45" s="851"/>
      <c r="AP45" s="851"/>
      <c r="AQ45" s="851"/>
      <c r="AR45" s="851"/>
      <c r="AS45" s="852"/>
      <c r="AT45" s="860"/>
      <c r="AU45" s="151"/>
      <c r="AV45" s="152"/>
      <c r="AW45" s="848"/>
      <c r="AX45" s="849"/>
      <c r="AY45" s="850"/>
      <c r="AZ45" s="851"/>
      <c r="BA45" s="851"/>
      <c r="BB45" s="851"/>
      <c r="BC45" s="851"/>
      <c r="BD45" s="851"/>
      <c r="BE45" s="851"/>
      <c r="BF45" s="851"/>
      <c r="BG45" s="851"/>
      <c r="BH45" s="852"/>
      <c r="BI45" s="860"/>
      <c r="BJ45" s="151"/>
      <c r="BK45" s="152"/>
      <c r="BL45" s="848"/>
      <c r="BM45" s="849"/>
      <c r="BN45" s="850"/>
      <c r="BO45" s="851"/>
      <c r="BP45" s="851"/>
      <c r="BQ45" s="851"/>
      <c r="BR45" s="851"/>
      <c r="BS45" s="851"/>
      <c r="BT45" s="851"/>
      <c r="BU45" s="851"/>
      <c r="BV45" s="851"/>
      <c r="BW45" s="852"/>
    </row>
    <row r="46" spans="1:75" ht="24.75" customHeight="1"/>
    <row r="49" spans="1:10">
      <c r="A49" s="157">
        <v>0.27083333333333331</v>
      </c>
      <c r="B49" s="218">
        <v>0.83333333333333337</v>
      </c>
      <c r="C49" s="4" t="s">
        <v>68</v>
      </c>
      <c r="F49" s="4">
        <f>食事申込書!J10</f>
        <v>0</v>
      </c>
      <c r="G49" s="4">
        <f>食事申込書!K10</f>
        <v>0</v>
      </c>
      <c r="H49" s="4">
        <f>食事申込書!L10</f>
        <v>0</v>
      </c>
      <c r="I49" s="4">
        <f>食事申込書!M10</f>
        <v>0</v>
      </c>
      <c r="J49" s="4">
        <f>食事申込書!N10</f>
        <v>0</v>
      </c>
    </row>
    <row r="50" spans="1:10">
      <c r="A50" s="157">
        <v>0.28125</v>
      </c>
      <c r="B50" s="218">
        <v>0.91666666666666663</v>
      </c>
      <c r="C50" s="4" t="s">
        <v>66</v>
      </c>
    </row>
    <row r="51" spans="1:10">
      <c r="A51" s="157">
        <v>0.29166666666666669</v>
      </c>
      <c r="C51" s="4" t="s">
        <v>340</v>
      </c>
    </row>
    <row r="52" spans="1:10">
      <c r="A52" s="157">
        <v>0.30208333333333331</v>
      </c>
      <c r="C52" s="4" t="s">
        <v>341</v>
      </c>
    </row>
    <row r="53" spans="1:10">
      <c r="A53" s="157">
        <v>0.3125</v>
      </c>
      <c r="C53" s="4" t="s">
        <v>342</v>
      </c>
    </row>
    <row r="54" spans="1:10">
      <c r="A54" s="157">
        <v>0.32291666666666669</v>
      </c>
    </row>
    <row r="55" spans="1:10">
      <c r="A55" s="157">
        <v>0.33333333333333331</v>
      </c>
    </row>
    <row r="56" spans="1:10">
      <c r="A56" s="157">
        <v>0.34375</v>
      </c>
    </row>
    <row r="57" spans="1:10">
      <c r="A57" s="157">
        <v>0.35416666666666669</v>
      </c>
    </row>
    <row r="58" spans="1:10">
      <c r="A58" s="157">
        <v>0.36458333333333331</v>
      </c>
    </row>
    <row r="59" spans="1:10">
      <c r="A59" s="157">
        <v>0.375</v>
      </c>
    </row>
    <row r="60" spans="1:10">
      <c r="A60" s="157">
        <v>0.38541666666666669</v>
      </c>
    </row>
    <row r="61" spans="1:10">
      <c r="A61" s="157">
        <v>0.39583333333333331</v>
      </c>
    </row>
    <row r="62" spans="1:10">
      <c r="A62" s="157">
        <v>0.40625</v>
      </c>
    </row>
    <row r="63" spans="1:10">
      <c r="A63" s="157">
        <v>0.41666666666666669</v>
      </c>
    </row>
    <row r="64" spans="1:10">
      <c r="A64" s="157">
        <v>0.42708333333333331</v>
      </c>
    </row>
    <row r="65" spans="1:1">
      <c r="A65" s="157">
        <v>0.4375</v>
      </c>
    </row>
    <row r="66" spans="1:1">
      <c r="A66" s="157">
        <v>0.44791666666666669</v>
      </c>
    </row>
    <row r="67" spans="1:1">
      <c r="A67" s="157">
        <v>0.45833333333333331</v>
      </c>
    </row>
    <row r="68" spans="1:1">
      <c r="A68" s="157">
        <v>0.46875</v>
      </c>
    </row>
    <row r="69" spans="1:1">
      <c r="A69" s="157">
        <v>0.47916666666666669</v>
      </c>
    </row>
    <row r="70" spans="1:1">
      <c r="A70" s="157">
        <v>0.48958333333333331</v>
      </c>
    </row>
    <row r="71" spans="1:1">
      <c r="A71" s="157">
        <v>0.5</v>
      </c>
    </row>
    <row r="72" spans="1:1">
      <c r="A72" s="157">
        <v>0.51041666666666663</v>
      </c>
    </row>
    <row r="73" spans="1:1">
      <c r="A73" s="157">
        <v>0.52083333333333337</v>
      </c>
    </row>
    <row r="74" spans="1:1">
      <c r="A74" s="157">
        <v>0.53125</v>
      </c>
    </row>
    <row r="75" spans="1:1">
      <c r="A75" s="157">
        <v>0.54166666666666663</v>
      </c>
    </row>
    <row r="76" spans="1:1">
      <c r="A76" s="157">
        <v>0.55208333333333337</v>
      </c>
    </row>
    <row r="77" spans="1:1">
      <c r="A77" s="157">
        <v>0.5625</v>
      </c>
    </row>
    <row r="78" spans="1:1">
      <c r="A78" s="157">
        <v>0.57291666666666663</v>
      </c>
    </row>
    <row r="79" spans="1:1">
      <c r="A79" s="157">
        <v>0.58333333333333337</v>
      </c>
    </row>
    <row r="80" spans="1:1">
      <c r="A80" s="157">
        <v>0.59375</v>
      </c>
    </row>
    <row r="81" spans="1:1">
      <c r="A81" s="157">
        <v>0.60416666666666663</v>
      </c>
    </row>
    <row r="82" spans="1:1">
      <c r="A82" s="157">
        <v>0.61458333333333337</v>
      </c>
    </row>
    <row r="83" spans="1:1">
      <c r="A83" s="157">
        <v>0.625</v>
      </c>
    </row>
    <row r="84" spans="1:1">
      <c r="A84" s="157">
        <v>0.63541666666666663</v>
      </c>
    </row>
    <row r="85" spans="1:1">
      <c r="A85" s="157">
        <v>0.64583333333333337</v>
      </c>
    </row>
    <row r="86" spans="1:1">
      <c r="A86" s="157">
        <v>0.65625</v>
      </c>
    </row>
    <row r="87" spans="1:1">
      <c r="A87" s="157">
        <v>0.66666666666666663</v>
      </c>
    </row>
    <row r="88" spans="1:1">
      <c r="A88" s="157">
        <v>0.67708333333333337</v>
      </c>
    </row>
    <row r="89" spans="1:1">
      <c r="A89" s="157">
        <v>0.6875</v>
      </c>
    </row>
    <row r="90" spans="1:1">
      <c r="A90" s="157">
        <v>0.69791666666666663</v>
      </c>
    </row>
    <row r="91" spans="1:1">
      <c r="A91" s="157">
        <v>0.70833333333333337</v>
      </c>
    </row>
    <row r="92" spans="1:1">
      <c r="A92" s="157">
        <v>0.71875</v>
      </c>
    </row>
    <row r="93" spans="1:1">
      <c r="A93" s="157">
        <v>0.72916666666666663</v>
      </c>
    </row>
    <row r="94" spans="1:1">
      <c r="A94" s="157">
        <v>0.73958333333333337</v>
      </c>
    </row>
    <row r="95" spans="1:1">
      <c r="A95" s="157">
        <v>0.75</v>
      </c>
    </row>
    <row r="96" spans="1:1">
      <c r="A96" s="157">
        <v>0.76041666666666663</v>
      </c>
    </row>
    <row r="97" spans="1:1">
      <c r="A97" s="157">
        <v>0.77083333333333337</v>
      </c>
    </row>
    <row r="98" spans="1:1">
      <c r="A98" s="157">
        <v>0.78125</v>
      </c>
    </row>
    <row r="99" spans="1:1">
      <c r="A99" s="157">
        <v>0.79166666666666663</v>
      </c>
    </row>
    <row r="100" spans="1:1">
      <c r="A100" s="157">
        <v>0.80208333333333337</v>
      </c>
    </row>
    <row r="101" spans="1:1">
      <c r="A101" s="157">
        <v>0.8125</v>
      </c>
    </row>
    <row r="102" spans="1:1">
      <c r="A102" s="157">
        <v>0.82291666666666663</v>
      </c>
    </row>
    <row r="103" spans="1:1">
      <c r="A103" s="157">
        <v>0.83333333333333337</v>
      </c>
    </row>
    <row r="104" spans="1:1">
      <c r="A104" s="157">
        <v>0.84375</v>
      </c>
    </row>
    <row r="105" spans="1:1">
      <c r="A105" s="157">
        <v>0.85416666666666663</v>
      </c>
    </row>
    <row r="106" spans="1:1">
      <c r="A106" s="157">
        <v>0.86458333333333337</v>
      </c>
    </row>
    <row r="107" spans="1:1">
      <c r="A107" s="157">
        <v>0.875</v>
      </c>
    </row>
    <row r="108" spans="1:1">
      <c r="A108" s="157">
        <v>0.88541666666666663</v>
      </c>
    </row>
    <row r="109" spans="1:1">
      <c r="A109" s="157">
        <v>0.89583333333333337</v>
      </c>
    </row>
    <row r="110" spans="1:1">
      <c r="A110" s="157">
        <v>0.90625</v>
      </c>
    </row>
    <row r="111" spans="1:1">
      <c r="A111" s="157">
        <v>0.91666666666666663</v>
      </c>
    </row>
    <row r="112" spans="1:1">
      <c r="A112" s="4">
        <v>0.92708333333333337</v>
      </c>
    </row>
    <row r="113" spans="1:1">
      <c r="A113" s="4">
        <v>0.9375</v>
      </c>
    </row>
    <row r="114" spans="1:1">
      <c r="A114" s="4">
        <v>0.94791666666666663</v>
      </c>
    </row>
    <row r="115" spans="1:1">
      <c r="A115" s="4">
        <v>0.95833333333333337</v>
      </c>
    </row>
  </sheetData>
  <sheetProtection algorithmName="SHA-512" hashValue="xIqPjJLTFx5/jN8VjsDsZ8XBNT0ndYQ4qsybKrvNFwBApxW0PgISUa8RbIMOHE18yocpPB8g2AvcI1MMwUYn6A==" saltValue="HvGsZT+CpPz95RAk00Mhtw==" spinCount="100000" sheet="1" selectLockedCells="1" autoFilter="0"/>
  <mergeCells count="454">
    <mergeCell ref="BI38:BI41"/>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 ref="BL41:BM41"/>
    <mergeCell ref="BN41:BO41"/>
    <mergeCell ref="BP41:BQ41"/>
    <mergeCell ref="BR41:BT41"/>
    <mergeCell ref="BU41:BW41"/>
    <mergeCell ref="AT38:AT41"/>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AW41:AX41"/>
    <mergeCell ref="AY41:AZ41"/>
    <mergeCell ref="BA41:BB41"/>
    <mergeCell ref="BC41:BE41"/>
    <mergeCell ref="BF41:BH41"/>
    <mergeCell ref="AE38:AE41"/>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AH41:AI41"/>
    <mergeCell ref="AJ41:AK41"/>
    <mergeCell ref="AL41:AM41"/>
    <mergeCell ref="AN41:AP41"/>
    <mergeCell ref="AQ41:AS41"/>
    <mergeCell ref="P38:P41"/>
    <mergeCell ref="S38:T38"/>
    <mergeCell ref="U38:V38"/>
    <mergeCell ref="W38:X38"/>
    <mergeCell ref="Y38:AA38"/>
    <mergeCell ref="AB38:AD38"/>
    <mergeCell ref="S39:T39"/>
    <mergeCell ref="U39:V39"/>
    <mergeCell ref="W39:X39"/>
    <mergeCell ref="Y39:AA39"/>
    <mergeCell ref="AB39:AD39"/>
    <mergeCell ref="S40:T40"/>
    <mergeCell ref="U40:V40"/>
    <mergeCell ref="W40:X40"/>
    <mergeCell ref="Y40:AA40"/>
    <mergeCell ref="AB40:AD40"/>
    <mergeCell ref="S41:T41"/>
    <mergeCell ref="U41:V41"/>
    <mergeCell ref="W41:X41"/>
    <mergeCell ref="Y41:AA41"/>
    <mergeCell ref="AB41:AD41"/>
    <mergeCell ref="J38:L38"/>
    <mergeCell ref="J39:L39"/>
    <mergeCell ref="J40:L40"/>
    <mergeCell ref="J41:L41"/>
    <mergeCell ref="M38:O38"/>
    <mergeCell ref="M39:O39"/>
    <mergeCell ref="M40:O40"/>
    <mergeCell ref="M41:O41"/>
    <mergeCell ref="A38:A41"/>
    <mergeCell ref="D40:E40"/>
    <mergeCell ref="D41:E41"/>
    <mergeCell ref="F38:G38"/>
    <mergeCell ref="F39:G39"/>
    <mergeCell ref="F40:G40"/>
    <mergeCell ref="F41:G41"/>
    <mergeCell ref="H38:I38"/>
    <mergeCell ref="H39:I39"/>
    <mergeCell ref="H40:I40"/>
    <mergeCell ref="H41:I41"/>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AK22:AS22"/>
    <mergeCell ref="AK23:AS23"/>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24:A29"/>
    <mergeCell ref="F25:O25"/>
    <mergeCell ref="AT24:AT29"/>
    <mergeCell ref="AY25:BH25"/>
    <mergeCell ref="AY26:BH26"/>
    <mergeCell ref="AO9:AS9"/>
    <mergeCell ref="K7:O7"/>
    <mergeCell ref="AY27:BH27"/>
    <mergeCell ref="AY28:BH28"/>
    <mergeCell ref="AY29:BH29"/>
    <mergeCell ref="AZ17:BB17"/>
    <mergeCell ref="BC17:BE17"/>
    <mergeCell ref="BF17:BH17"/>
    <mergeCell ref="AH9:AI9"/>
    <mergeCell ref="AW7:AX7"/>
    <mergeCell ref="AW8:AX8"/>
    <mergeCell ref="AW9:AX9"/>
    <mergeCell ref="AL7:AN7"/>
    <mergeCell ref="BA24:BB24"/>
    <mergeCell ref="BD24:BE24"/>
    <mergeCell ref="BG24:BH24"/>
    <mergeCell ref="AZ18:BB18"/>
    <mergeCell ref="BC18:BE18"/>
    <mergeCell ref="BF18:BH18"/>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F6:O6"/>
    <mergeCell ref="F26:O26"/>
    <mergeCell ref="F29:O29"/>
    <mergeCell ref="F27:O27"/>
    <mergeCell ref="F28:O28"/>
    <mergeCell ref="P6:Q6"/>
    <mergeCell ref="S6:T6"/>
    <mergeCell ref="U26:AD26"/>
    <mergeCell ref="U29:AD29"/>
    <mergeCell ref="U27:AD27"/>
    <mergeCell ref="V23:AD23"/>
    <mergeCell ref="U28:AD28"/>
    <mergeCell ref="P24:P29"/>
    <mergeCell ref="J15:O15"/>
    <mergeCell ref="N24:O24"/>
    <mergeCell ref="K24:L24"/>
    <mergeCell ref="H24:I24"/>
    <mergeCell ref="W24:X24"/>
    <mergeCell ref="F13:I13"/>
    <mergeCell ref="C11:O11"/>
    <mergeCell ref="R11:AD11"/>
    <mergeCell ref="C10:O10"/>
    <mergeCell ref="R10:AD10"/>
    <mergeCell ref="F16:I16"/>
    <mergeCell ref="AY30:BH30"/>
    <mergeCell ref="AT31:AT37"/>
    <mergeCell ref="AY32:BH32"/>
    <mergeCell ref="AY33:BH33"/>
    <mergeCell ref="AY34:BH34"/>
    <mergeCell ref="AY35:BH35"/>
    <mergeCell ref="AY36:BH36"/>
    <mergeCell ref="AY37:BH37"/>
    <mergeCell ref="AY31:BB31"/>
    <mergeCell ref="BC31:BH31"/>
    <mergeCell ref="AT42:AT45"/>
    <mergeCell ref="AW42:AX42"/>
    <mergeCell ref="AY42:BH42"/>
    <mergeCell ref="AW43:AX43"/>
    <mergeCell ref="AY43:BH43"/>
    <mergeCell ref="AW44:AX44"/>
    <mergeCell ref="AY44:BH44"/>
    <mergeCell ref="AW45:AX45"/>
    <mergeCell ref="AY45:BH45"/>
    <mergeCell ref="P42:P45"/>
    <mergeCell ref="F30:O30"/>
    <mergeCell ref="U45:AD45"/>
    <mergeCell ref="F31:I31"/>
    <mergeCell ref="J31:O31"/>
    <mergeCell ref="P31:P34"/>
    <mergeCell ref="A42:A45"/>
    <mergeCell ref="F42:O42"/>
    <mergeCell ref="F43:O43"/>
    <mergeCell ref="F44:O44"/>
    <mergeCell ref="F45:O45"/>
    <mergeCell ref="D43:E43"/>
    <mergeCell ref="D44:E44"/>
    <mergeCell ref="D45:E45"/>
    <mergeCell ref="A31:A37"/>
    <mergeCell ref="F32:O32"/>
    <mergeCell ref="F33:O33"/>
    <mergeCell ref="F34:O34"/>
    <mergeCell ref="F35:O35"/>
    <mergeCell ref="F36:O36"/>
    <mergeCell ref="F37:O37"/>
    <mergeCell ref="D42:E42"/>
    <mergeCell ref="D38:E38"/>
    <mergeCell ref="D39:E39"/>
    <mergeCell ref="AJ31:AM31"/>
    <mergeCell ref="AN31:AS31"/>
    <mergeCell ref="AJ37:AS37"/>
    <mergeCell ref="S44:T44"/>
    <mergeCell ref="AJ42:AS42"/>
    <mergeCell ref="AJ43:AS43"/>
    <mergeCell ref="AJ44:AS44"/>
    <mergeCell ref="U31:X31"/>
    <mergeCell ref="Y31:AD31"/>
    <mergeCell ref="U32:AD32"/>
    <mergeCell ref="U33:AD33"/>
    <mergeCell ref="U34:AD34"/>
    <mergeCell ref="U42:AD42"/>
    <mergeCell ref="U43:AD43"/>
    <mergeCell ref="U44:AD44"/>
    <mergeCell ref="S42:T42"/>
    <mergeCell ref="S43:T43"/>
    <mergeCell ref="P35:AD37"/>
    <mergeCell ref="AE42:AE45"/>
    <mergeCell ref="AH42:AI42"/>
    <mergeCell ref="AH43:AI43"/>
    <mergeCell ref="AH44:AI44"/>
    <mergeCell ref="AH45:AI45"/>
    <mergeCell ref="S45:T45"/>
    <mergeCell ref="AJ45:AS45"/>
    <mergeCell ref="AE31:AE37"/>
    <mergeCell ref="AJ36:AS36"/>
    <mergeCell ref="A5:O5"/>
    <mergeCell ref="A6:B6"/>
    <mergeCell ref="D6:E6"/>
    <mergeCell ref="P5:AD5"/>
    <mergeCell ref="U6:AD6"/>
    <mergeCell ref="BL7:BM7"/>
    <mergeCell ref="BL8:BM8"/>
    <mergeCell ref="BL9:BM9"/>
    <mergeCell ref="BI42:BI45"/>
    <mergeCell ref="BL42:BM42"/>
    <mergeCell ref="U25:AD25"/>
    <mergeCell ref="U30:AD30"/>
    <mergeCell ref="Z24:AA24"/>
    <mergeCell ref="AC24:AD24"/>
    <mergeCell ref="A12:A15"/>
    <mergeCell ref="P12:P15"/>
    <mergeCell ref="AJ35:AS35"/>
    <mergeCell ref="AJ30:AS30"/>
    <mergeCell ref="AJ32:AS32"/>
    <mergeCell ref="AJ33:AS33"/>
    <mergeCell ref="AJ34:AS34"/>
    <mergeCell ref="BN25:BW25"/>
    <mergeCell ref="BN26:BW26"/>
    <mergeCell ref="BN27:BW27"/>
    <mergeCell ref="BN28:BW28"/>
    <mergeCell ref="BP24:BQ24"/>
    <mergeCell ref="BS24:BT24"/>
    <mergeCell ref="BV24:BW24"/>
    <mergeCell ref="BI31:BI37"/>
    <mergeCell ref="BN32:BW32"/>
    <mergeCell ref="BN33:BW33"/>
    <mergeCell ref="BN34:BW34"/>
    <mergeCell ref="BN42:BW42"/>
    <mergeCell ref="BL43:BM43"/>
    <mergeCell ref="BN43:BW43"/>
    <mergeCell ref="BL44:BM44"/>
    <mergeCell ref="BN44:BW44"/>
    <mergeCell ref="BL45:BM45"/>
    <mergeCell ref="BN45:BW45"/>
    <mergeCell ref="AJ28:AS28"/>
    <mergeCell ref="AE24:AE29"/>
    <mergeCell ref="AJ25:AS25"/>
    <mergeCell ref="AJ26:AS26"/>
    <mergeCell ref="AJ29:AS29"/>
    <mergeCell ref="AJ27:AS27"/>
    <mergeCell ref="BN29:BW29"/>
    <mergeCell ref="BN30:BW30"/>
    <mergeCell ref="AL24:AM24"/>
    <mergeCell ref="AO24:AP24"/>
    <mergeCell ref="AR24:AS24"/>
    <mergeCell ref="BN35:BW35"/>
    <mergeCell ref="BN36:BW36"/>
    <mergeCell ref="BN37:BW37"/>
    <mergeCell ref="BN31:BQ31"/>
    <mergeCell ref="BR31:BW31"/>
    <mergeCell ref="BI24:BI29"/>
    <mergeCell ref="CG13:CI13"/>
    <mergeCell ref="CJ13:CL13"/>
    <mergeCell ref="P20:P23"/>
    <mergeCell ref="AE20:AE23"/>
    <mergeCell ref="AT20:AT23"/>
    <mergeCell ref="BI20:BI23"/>
    <mergeCell ref="G20:O20"/>
    <mergeCell ref="G22:O22"/>
    <mergeCell ref="G23:O23"/>
    <mergeCell ref="AZ20:BH20"/>
    <mergeCell ref="AZ22:BH22"/>
    <mergeCell ref="AZ23:BH23"/>
    <mergeCell ref="BO20:BW20"/>
    <mergeCell ref="BO22:BW22"/>
    <mergeCell ref="BO23:BW23"/>
    <mergeCell ref="S16:T16"/>
    <mergeCell ref="S15:T15"/>
    <mergeCell ref="V20:AD20"/>
    <mergeCell ref="V22:AD22"/>
    <mergeCell ref="AK20:AS20"/>
    <mergeCell ref="M19:O19"/>
    <mergeCell ref="AY16:BB16"/>
    <mergeCell ref="BC16:BH16"/>
    <mergeCell ref="BN16:BQ16"/>
    <mergeCell ref="I2:AP2"/>
    <mergeCell ref="I1:AP1"/>
    <mergeCell ref="A20:A23"/>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U17:AX17"/>
    <mergeCell ref="BL16:BM16"/>
    <mergeCell ref="AJ16:AM16"/>
    <mergeCell ref="AN16:AS16"/>
    <mergeCell ref="U16:X16"/>
    <mergeCell ref="Y16:AD16"/>
    <mergeCell ref="Y15:AD15"/>
    <mergeCell ref="W15:X15"/>
    <mergeCell ref="U13:X13"/>
    <mergeCell ref="Y13:AD13"/>
    <mergeCell ref="Y14:AD14"/>
    <mergeCell ref="U14:X14"/>
    <mergeCell ref="U15:V15"/>
    <mergeCell ref="D12:E12"/>
    <mergeCell ref="J13:O13"/>
    <mergeCell ref="A17:A19"/>
    <mergeCell ref="B17:E17"/>
    <mergeCell ref="H14:I14"/>
    <mergeCell ref="F14:G14"/>
    <mergeCell ref="J14:M14"/>
    <mergeCell ref="N14:O14"/>
    <mergeCell ref="F15:G15"/>
    <mergeCell ref="H15:I15"/>
    <mergeCell ref="J16:O16"/>
    <mergeCell ref="P17:AD19"/>
    <mergeCell ref="D19:E19"/>
    <mergeCell ref="G18:I18"/>
    <mergeCell ref="J18:L18"/>
    <mergeCell ref="M18:O18"/>
    <mergeCell ref="G17:I17"/>
    <mergeCell ref="J17:L17"/>
    <mergeCell ref="M17:O17"/>
    <mergeCell ref="G19:I19"/>
    <mergeCell ref="J19:L19"/>
    <mergeCell ref="V21:AD21"/>
    <mergeCell ref="AK21:AS21"/>
    <mergeCell ref="AZ21:BH21"/>
    <mergeCell ref="BO21:BW21"/>
    <mergeCell ref="G21:O21"/>
    <mergeCell ref="CD13:CF13"/>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 ref="AQ19:AS19"/>
    <mergeCell ref="AE17:AE19"/>
  </mergeCells>
  <phoneticPr fontId="1"/>
  <conditionalFormatting sqref="B38:C45">
    <cfRule type="containsBlanks" dxfId="98" priority="43">
      <formula>LEN(TRIM(B38))=0</formula>
    </cfRule>
  </conditionalFormatting>
  <conditionalFormatting sqref="D15:E15 S15:T15">
    <cfRule type="containsBlanks" dxfId="97" priority="8">
      <formula>LEN(TRIM(D15))=0</formula>
    </cfRule>
  </conditionalFormatting>
  <conditionalFormatting sqref="H15">
    <cfRule type="containsBlanks" dxfId="96" priority="52">
      <formula>LEN(TRIM(H15))=0</formula>
    </cfRule>
  </conditionalFormatting>
  <conditionalFormatting sqref="H38:H41">
    <cfRule type="containsBlanks" dxfId="95" priority="42">
      <formula>LEN(TRIM(H38))=0</formula>
    </cfRule>
  </conditionalFormatting>
  <conditionalFormatting sqref="H14:I15 W15:X15">
    <cfRule type="containsBlanks" dxfId="94" priority="7">
      <formula>LEN(TRIM(H14))=0</formula>
    </cfRule>
  </conditionalFormatting>
  <conditionalFormatting sqref="J12:O13 C12:C16 D13:D14 N14:O14 F16 C18 G24:H24 J24:K24 M24:N24 C24:D37 J31:O31 F42:O45">
    <cfRule type="containsBlanks" dxfId="93" priority="66">
      <formula>LEN(TRIM(C12))=0</formula>
    </cfRule>
  </conditionalFormatting>
  <conditionalFormatting sqref="J16:O16">
    <cfRule type="containsBlanks" dxfId="92" priority="5">
      <formula>LEN(TRIM(J16))=0</formula>
    </cfRule>
  </conditionalFormatting>
  <conditionalFormatting sqref="M38:M41">
    <cfRule type="containsBlanks" dxfId="91" priority="41">
      <formula>LEN(TRIM(M38))=0</formula>
    </cfRule>
  </conditionalFormatting>
  <conditionalFormatting sqref="Q38:R45">
    <cfRule type="containsBlanks" dxfId="90" priority="23">
      <formula>LEN(TRIM(Q38))=0</formula>
    </cfRule>
  </conditionalFormatting>
  <conditionalFormatting sqref="R12:R16 S13:S14 U16:AD16 AG16 AJ16:AS16 AV16 AY16:BH16 BK16 BN16:BW16 R24:S34 AG24:AH37 AV24:AW37 BK24:BL37 Y31:AD31 AN31:AS31 BC31:BH31 BR31:BW31">
    <cfRule type="containsBlanks" dxfId="89" priority="65">
      <formula>LEN(TRIM(R12))=0</formula>
    </cfRule>
  </conditionalFormatting>
  <conditionalFormatting sqref="U42:AD45">
    <cfRule type="containsBlanks" dxfId="88" priority="24">
      <formula>LEN(TRIM(U42))=0</formula>
    </cfRule>
  </conditionalFormatting>
  <conditionalFormatting sqref="V24:W24 Y24:Z24 AB24:AC24">
    <cfRule type="timePeriod" dxfId="87" priority="64" timePeriod="yesterday">
      <formula>FLOOR(V24,1)=TODAY()-1</formula>
    </cfRule>
    <cfRule type="containsBlanks" dxfId="86" priority="63">
      <formula>LEN(TRIM(V24))=0</formula>
    </cfRule>
  </conditionalFormatting>
  <conditionalFormatting sqref="W15">
    <cfRule type="containsBlanks" dxfId="85" priority="68">
      <formula>LEN(TRIM(W15))=0</formula>
    </cfRule>
  </conditionalFormatting>
  <conditionalFormatting sqref="W38:W41">
    <cfRule type="containsBlanks" dxfId="84" priority="22">
      <formula>LEN(TRIM(W38))=0</formula>
    </cfRule>
  </conditionalFormatting>
  <conditionalFormatting sqref="Y12:AD14">
    <cfRule type="containsBlanks" dxfId="83" priority="6">
      <formula>LEN(TRIM(Y12))=0</formula>
    </cfRule>
  </conditionalFormatting>
  <conditionalFormatting sqref="AB38:AB41 AQ38:AQ41 BF38:BF41 BU38:BU41">
    <cfRule type="containsBlanks" dxfId="82" priority="1">
      <formula>LEN(TRIM(AB38))=0</formula>
    </cfRule>
  </conditionalFormatting>
  <conditionalFormatting sqref="AF38:AG45">
    <cfRule type="containsBlanks" dxfId="81" priority="19">
      <formula>LEN(TRIM(AF38))=0</formula>
    </cfRule>
  </conditionalFormatting>
  <conditionalFormatting sqref="AG18">
    <cfRule type="containsBlanks" dxfId="80" priority="4">
      <formula>LEN(TRIM(AG18))=0</formula>
    </cfRule>
  </conditionalFormatting>
  <conditionalFormatting sqref="AJ42:AS45">
    <cfRule type="containsBlanks" dxfId="79" priority="20">
      <formula>LEN(TRIM(AJ42))=0</formula>
    </cfRule>
  </conditionalFormatting>
  <conditionalFormatting sqref="AK24:AL24 AN24:AO24 AQ24:AR24">
    <cfRule type="containsBlanks" dxfId="78" priority="61">
      <formula>LEN(TRIM(AK24))=0</formula>
    </cfRule>
    <cfRule type="timePeriod" dxfId="77" priority="62" timePeriod="yesterday">
      <formula>FLOOR(AK24,1)=TODAY()-1</formula>
    </cfRule>
  </conditionalFormatting>
  <conditionalFormatting sqref="AL38:AL41">
    <cfRule type="containsBlanks" dxfId="76" priority="18">
      <formula>LEN(TRIM(AL38))=0</formula>
    </cfRule>
  </conditionalFormatting>
  <conditionalFormatting sqref="AU38:AV45">
    <cfRule type="containsBlanks" dxfId="75" priority="15">
      <formula>LEN(TRIM(AU38))=0</formula>
    </cfRule>
  </conditionalFormatting>
  <conditionalFormatting sqref="AV18">
    <cfRule type="containsBlanks" dxfId="74" priority="3">
      <formula>LEN(TRIM(AV18))=0</formula>
    </cfRule>
  </conditionalFormatting>
  <conditionalFormatting sqref="AY42:BH45">
    <cfRule type="containsBlanks" dxfId="73" priority="16">
      <formula>LEN(TRIM(AY42))=0</formula>
    </cfRule>
  </conditionalFormatting>
  <conditionalFormatting sqref="AZ24:BA24 BC24:BD24 BF24:BG24">
    <cfRule type="containsBlanks" dxfId="72" priority="55">
      <formula>LEN(TRIM(AZ24))=0</formula>
    </cfRule>
    <cfRule type="timePeriod" dxfId="71" priority="56" timePeriod="yesterday">
      <formula>FLOOR(AZ24,1)=TODAY()-1</formula>
    </cfRule>
  </conditionalFormatting>
  <conditionalFormatting sqref="BA38:BA41">
    <cfRule type="containsBlanks" dxfId="70" priority="14">
      <formula>LEN(TRIM(BA38))=0</formula>
    </cfRule>
  </conditionalFormatting>
  <conditionalFormatting sqref="BJ38:BK45">
    <cfRule type="containsBlanks" dxfId="69" priority="11">
      <formula>LEN(TRIM(BJ38))=0</formula>
    </cfRule>
  </conditionalFormatting>
  <conditionalFormatting sqref="BK18">
    <cfRule type="containsBlanks" dxfId="68" priority="2">
      <formula>LEN(TRIM(BK18))=0</formula>
    </cfRule>
  </conditionalFormatting>
  <conditionalFormatting sqref="BN42:BW45">
    <cfRule type="containsBlanks" dxfId="67" priority="12">
      <formula>LEN(TRIM(BN42))=0</formula>
    </cfRule>
  </conditionalFormatting>
  <conditionalFormatting sqref="BO24:BP24 BR24:BS24 BU24:BV24">
    <cfRule type="containsBlanks" dxfId="66" priority="53">
      <formula>LEN(TRIM(BO24))=0</formula>
    </cfRule>
    <cfRule type="timePeriod" dxfId="65" priority="54" timePeriod="yesterday">
      <formula>FLOOR(BO24,1)=TODAY()-1</formula>
    </cfRule>
  </conditionalFormatting>
  <conditionalFormatting sqref="BP38:BP41">
    <cfRule type="containsBlanks" dxfId="64" priority="10">
      <formula>LEN(TRIM(BP38))=0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BK18:BK19 BK24:BK45 AL38:AL41 W38:W41 BA38:BA41 R12:R16 BK16 AV16 AG16 C12:C16 H14 H38:H41 C24:C45 C18:C19 R38:R45 BP38:BP41 AG24:AG45 AG18:AG19 AV24:AV45 AV18:AV19 R24:R34 N14" xr:uid="{8FBFFCF7-6FEA-4277-9C9B-3FC09C998B5D}">
      <formula1>$A$49:$A$111</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8:O41 AB38:AD41 AQ38:AS41 BF38:BH41 BU38:BW41"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30"/>
  <sheetViews>
    <sheetView view="pageBreakPreview" zoomScale="60" zoomScaleNormal="70" workbookViewId="0">
      <selection activeCell="G1" sqref="G1:L1"/>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880">
        <f>宿泊者名簿!$W$10</f>
        <v>43069</v>
      </c>
      <c r="B1" s="880"/>
      <c r="C1" s="880"/>
      <c r="D1" s="880"/>
      <c r="E1" s="880"/>
      <c r="F1" s="880"/>
      <c r="G1" s="880">
        <f>A1+1</f>
        <v>43070</v>
      </c>
      <c r="H1" s="880"/>
      <c r="I1" s="880"/>
      <c r="J1" s="880"/>
      <c r="K1" s="880"/>
      <c r="L1" s="880"/>
      <c r="M1" s="880" t="str">
        <f>IF(宿泊者名簿!$M$9&gt;1,G1+1,"")</f>
        <v/>
      </c>
      <c r="N1" s="880"/>
      <c r="O1" s="880"/>
      <c r="P1" s="880"/>
      <c r="Q1" s="880"/>
      <c r="R1" s="880"/>
      <c r="S1" s="880" t="str">
        <f>IF(宿泊者名簿!$M$9&gt;2,M1+1,"")</f>
        <v/>
      </c>
      <c r="T1" s="880"/>
      <c r="U1" s="880"/>
      <c r="V1" s="880"/>
      <c r="W1" s="880"/>
      <c r="X1" s="880"/>
      <c r="Y1" s="880" t="str">
        <f>IF(宿泊者名簿!$M$9&gt;3,S1+1,"")</f>
        <v/>
      </c>
      <c r="Z1" s="880"/>
      <c r="AA1" s="880"/>
      <c r="AB1" s="880"/>
      <c r="AC1" s="880"/>
      <c r="AD1" s="880"/>
    </row>
    <row r="2" spans="1:30" s="247" customFormat="1" ht="24.75" customHeight="1">
      <c r="A2" s="245" t="s">
        <v>335</v>
      </c>
      <c r="B2" s="884" t="s">
        <v>314</v>
      </c>
      <c r="C2" s="885"/>
      <c r="D2" s="885"/>
      <c r="E2" s="886"/>
      <c r="F2" s="246" t="s">
        <v>315</v>
      </c>
      <c r="G2" s="245" t="s">
        <v>335</v>
      </c>
      <c r="H2" s="884" t="s">
        <v>314</v>
      </c>
      <c r="I2" s="885"/>
      <c r="J2" s="885"/>
      <c r="K2" s="886"/>
      <c r="L2" s="246" t="s">
        <v>315</v>
      </c>
      <c r="M2" s="245" t="s">
        <v>335</v>
      </c>
      <c r="N2" s="884" t="s">
        <v>314</v>
      </c>
      <c r="O2" s="885"/>
      <c r="P2" s="885"/>
      <c r="Q2" s="886"/>
      <c r="R2" s="246" t="s">
        <v>315</v>
      </c>
      <c r="S2" s="245" t="s">
        <v>335</v>
      </c>
      <c r="T2" s="884" t="s">
        <v>314</v>
      </c>
      <c r="U2" s="885"/>
      <c r="V2" s="885"/>
      <c r="W2" s="886"/>
      <c r="X2" s="246" t="s">
        <v>315</v>
      </c>
      <c r="Y2" s="245" t="s">
        <v>335</v>
      </c>
      <c r="Z2" s="884" t="s">
        <v>314</v>
      </c>
      <c r="AA2" s="885"/>
      <c r="AB2" s="885"/>
      <c r="AC2" s="886"/>
      <c r="AD2" s="246" t="s">
        <v>315</v>
      </c>
    </row>
    <row r="3" spans="1:30" s="253" customFormat="1" ht="48.75" customHeight="1" thickBot="1">
      <c r="A3" s="248"/>
      <c r="B3" s="881">
        <f>宿泊者名簿!A7</f>
        <v>0</v>
      </c>
      <c r="C3" s="882"/>
      <c r="D3" s="882"/>
      <c r="E3" s="883"/>
      <c r="F3" s="249">
        <f>宿泊者名簿!B16</f>
        <v>0</v>
      </c>
      <c r="G3" s="250"/>
      <c r="H3" s="881">
        <f>宿泊者名簿!$A$7</f>
        <v>0</v>
      </c>
      <c r="I3" s="882"/>
      <c r="J3" s="882"/>
      <c r="K3" s="883"/>
      <c r="L3" s="251">
        <f>$F$3</f>
        <v>0</v>
      </c>
      <c r="M3" s="252"/>
      <c r="N3" s="881">
        <f>宿泊者名簿!$A$7</f>
        <v>0</v>
      </c>
      <c r="O3" s="882"/>
      <c r="P3" s="882"/>
      <c r="Q3" s="883"/>
      <c r="R3" s="249">
        <f>R80</f>
        <v>0</v>
      </c>
      <c r="S3" s="250"/>
      <c r="T3" s="881">
        <f>宿泊者名簿!$A$7</f>
        <v>0</v>
      </c>
      <c r="U3" s="882"/>
      <c r="V3" s="882"/>
      <c r="W3" s="883"/>
      <c r="X3" s="251">
        <f>$F$3</f>
        <v>0</v>
      </c>
      <c r="Y3" s="250"/>
      <c r="Z3" s="881">
        <f>宿泊者名簿!$A$7</f>
        <v>0</v>
      </c>
      <c r="AA3" s="882"/>
      <c r="AB3" s="882"/>
      <c r="AC3" s="883"/>
      <c r="AD3" s="251">
        <f>$F$3</f>
        <v>0</v>
      </c>
    </row>
    <row r="4" spans="1:30" ht="21.75" customHeight="1" thickTop="1">
      <c r="A4" s="254" t="s">
        <v>334</v>
      </c>
      <c r="B4" s="892" t="s">
        <v>336</v>
      </c>
      <c r="C4" s="893"/>
      <c r="D4" s="893"/>
      <c r="E4" s="894"/>
      <c r="F4" s="255" t="s">
        <v>337</v>
      </c>
      <c r="G4" s="256" t="s">
        <v>334</v>
      </c>
      <c r="H4" s="892" t="s">
        <v>336</v>
      </c>
      <c r="I4" s="893"/>
      <c r="J4" s="893"/>
      <c r="K4" s="894"/>
      <c r="L4" s="255" t="s">
        <v>337</v>
      </c>
      <c r="M4" s="254" t="s">
        <v>334</v>
      </c>
      <c r="N4" s="892" t="s">
        <v>336</v>
      </c>
      <c r="O4" s="893"/>
      <c r="P4" s="893"/>
      <c r="Q4" s="894"/>
      <c r="R4" s="255" t="s">
        <v>337</v>
      </c>
      <c r="S4" s="256" t="s">
        <v>334</v>
      </c>
      <c r="T4" s="892" t="s">
        <v>336</v>
      </c>
      <c r="U4" s="893"/>
      <c r="V4" s="893"/>
      <c r="W4" s="894"/>
      <c r="X4" s="255" t="s">
        <v>337</v>
      </c>
      <c r="Y4" s="256" t="s">
        <v>334</v>
      </c>
      <c r="Z4" s="892" t="s">
        <v>336</v>
      </c>
      <c r="AA4" s="893"/>
      <c r="AB4" s="893"/>
      <c r="AC4" s="894"/>
      <c r="AD4" s="255" t="s">
        <v>337</v>
      </c>
    </row>
    <row r="5" spans="1:30" ht="23.25" customHeight="1">
      <c r="A5" s="257">
        <v>0.25</v>
      </c>
      <c r="B5" s="258" t="str">
        <f t="shared" ref="B5:B36" si="0">IFERROR(INDEX($E$81:$E$119,MATCH(A5,$F$81:$F$119,0),1),"")</f>
        <v/>
      </c>
      <c r="C5" s="259"/>
      <c r="D5" s="259"/>
      <c r="E5" s="260"/>
      <c r="F5" s="261" t="str">
        <f t="shared" ref="F5:F36" si="1">IFERROR(INDEX(E$120:E$123,MATCH($A5,F$120:F$123,0),1),"")</f>
        <v/>
      </c>
      <c r="G5" s="257">
        <v>0.25</v>
      </c>
      <c r="H5" s="258" t="str">
        <f t="shared" ref="H5:H36" si="2">IFERROR(INDEX($K$81:$K$119,MATCH(G5,$L$81:$L$119,0),1),"")</f>
        <v/>
      </c>
      <c r="I5" s="259"/>
      <c r="J5" s="259"/>
      <c r="K5" s="260"/>
      <c r="L5" s="261" t="str">
        <f t="shared" ref="L5:L36" si="3">IFERROR(INDEX(K$120:K$123,MATCH($A5,L$120:L$123,0),1),"")</f>
        <v/>
      </c>
      <c r="M5" s="257">
        <v>0.25</v>
      </c>
      <c r="N5" s="258" t="str">
        <f t="shared" ref="N5:N36" si="4">IFERROR(INDEX($Q$81:$Q$119,MATCH(M5,$R$81:$R$119,0),1),"")</f>
        <v>起床</v>
      </c>
      <c r="O5" s="259"/>
      <c r="P5" s="259"/>
      <c r="Q5" s="260"/>
      <c r="R5" s="261" t="str">
        <f t="shared" ref="R5:R36" si="5">IFERROR(INDEX(Q$120:Q$123,MATCH($A5,R$120:R$123,0),1),"")</f>
        <v/>
      </c>
      <c r="S5" s="257">
        <v>0.25</v>
      </c>
      <c r="T5" s="258" t="str">
        <f t="shared" ref="T5:T36" si="6">IFERROR(INDEX($W$81:$W$119,MATCH(S5,$X$81:$X$119,0),1),"")</f>
        <v>起床</v>
      </c>
      <c r="U5" s="259"/>
      <c r="V5" s="259"/>
      <c r="W5" s="260"/>
      <c r="X5" s="261" t="str">
        <f t="shared" ref="X5:X36" si="7">IFERROR(INDEX(W$120:W$123,MATCH($A5,X$120:X$123,0),1),"")</f>
        <v/>
      </c>
      <c r="Y5" s="257">
        <v>0.25</v>
      </c>
      <c r="Z5" s="258" t="str">
        <f t="shared" ref="Z5:Z36" si="8">IFERROR(INDEX($AC$81:$AC$119,MATCH(Y5,$AD$81:$AD$119,0),1),"")</f>
        <v>起床</v>
      </c>
      <c r="AA5" s="259"/>
      <c r="AB5" s="259"/>
      <c r="AC5" s="260"/>
      <c r="AD5" s="261" t="str">
        <f t="shared" ref="AD5:AD36" si="9">IFERROR(INDEX(AC$120:AC$123,MATCH($A5,AD$120:AD$123,0),1),"")</f>
        <v/>
      </c>
    </row>
    <row r="6" spans="1:30" ht="23.25" customHeight="1">
      <c r="A6" s="262">
        <v>0.26041666666666669</v>
      </c>
      <c r="B6" s="258" t="str">
        <f t="shared" si="0"/>
        <v/>
      </c>
      <c r="C6" s="259"/>
      <c r="D6" s="259"/>
      <c r="E6" s="260"/>
      <c r="F6" s="263" t="str">
        <f t="shared" si="1"/>
        <v/>
      </c>
      <c r="G6" s="262">
        <v>0.26041666666666669</v>
      </c>
      <c r="H6" s="258" t="str">
        <f t="shared" si="2"/>
        <v/>
      </c>
      <c r="I6" s="259"/>
      <c r="J6" s="259"/>
      <c r="K6" s="260"/>
      <c r="L6" s="263" t="str">
        <f t="shared" si="3"/>
        <v/>
      </c>
      <c r="M6" s="262">
        <v>0.26041666666666669</v>
      </c>
      <c r="N6" s="258" t="str">
        <f t="shared" si="4"/>
        <v/>
      </c>
      <c r="O6" s="259"/>
      <c r="P6" s="259"/>
      <c r="Q6" s="260"/>
      <c r="R6" s="263" t="str">
        <f t="shared" si="5"/>
        <v/>
      </c>
      <c r="S6" s="262">
        <v>0.26041666666666669</v>
      </c>
      <c r="T6" s="258" t="str">
        <f t="shared" si="6"/>
        <v/>
      </c>
      <c r="U6" s="259"/>
      <c r="V6" s="259"/>
      <c r="W6" s="260"/>
      <c r="X6" s="263" t="str">
        <f t="shared" si="7"/>
        <v/>
      </c>
      <c r="Y6" s="262">
        <v>0.26041666666666669</v>
      </c>
      <c r="Z6" s="258" t="str">
        <f t="shared" si="8"/>
        <v/>
      </c>
      <c r="AA6" s="259"/>
      <c r="AB6" s="259"/>
      <c r="AC6" s="260"/>
      <c r="AD6" s="263" t="str">
        <f t="shared" si="9"/>
        <v/>
      </c>
    </row>
    <row r="7" spans="1:30" ht="23.25" customHeight="1">
      <c r="A7" s="264">
        <v>0.27083333333333331</v>
      </c>
      <c r="B7" s="258" t="str">
        <f t="shared" si="0"/>
        <v/>
      </c>
      <c r="C7" s="259"/>
      <c r="D7" s="259"/>
      <c r="E7" s="260"/>
      <c r="F7" s="263" t="str">
        <f t="shared" si="1"/>
        <v/>
      </c>
      <c r="G7" s="264">
        <v>0.27083333333333331</v>
      </c>
      <c r="H7" s="258" t="str">
        <f t="shared" si="2"/>
        <v/>
      </c>
      <c r="I7" s="259"/>
      <c r="J7" s="259"/>
      <c r="K7" s="260"/>
      <c r="L7" s="263" t="str">
        <f t="shared" si="3"/>
        <v/>
      </c>
      <c r="M7" s="264">
        <v>0.27083333333333331</v>
      </c>
      <c r="N7" s="258" t="str">
        <f t="shared" si="4"/>
        <v/>
      </c>
      <c r="O7" s="259"/>
      <c r="P7" s="259"/>
      <c r="Q7" s="260"/>
      <c r="R7" s="263" t="str">
        <f t="shared" si="5"/>
        <v/>
      </c>
      <c r="S7" s="264">
        <v>0.27083333333333331</v>
      </c>
      <c r="T7" s="258" t="str">
        <f t="shared" si="6"/>
        <v/>
      </c>
      <c r="U7" s="259"/>
      <c r="V7" s="259"/>
      <c r="W7" s="260"/>
      <c r="X7" s="263" t="str">
        <f t="shared" si="7"/>
        <v/>
      </c>
      <c r="Y7" s="264">
        <v>0.27083333333333331</v>
      </c>
      <c r="Z7" s="258" t="str">
        <f t="shared" si="8"/>
        <v/>
      </c>
      <c r="AA7" s="259"/>
      <c r="AB7" s="259"/>
      <c r="AC7" s="260"/>
      <c r="AD7" s="263" t="str">
        <f t="shared" si="9"/>
        <v/>
      </c>
    </row>
    <row r="8" spans="1:30" ht="23.25" customHeight="1">
      <c r="A8" s="262">
        <v>0.28125</v>
      </c>
      <c r="B8" s="258" t="str">
        <f t="shared" si="0"/>
        <v/>
      </c>
      <c r="C8" s="259"/>
      <c r="D8" s="259"/>
      <c r="E8" s="260"/>
      <c r="F8" s="263" t="str">
        <f t="shared" si="1"/>
        <v/>
      </c>
      <c r="G8" s="262">
        <v>0.28125</v>
      </c>
      <c r="H8" s="258" t="str">
        <f t="shared" si="2"/>
        <v/>
      </c>
      <c r="I8" s="259"/>
      <c r="J8" s="259"/>
      <c r="K8" s="260"/>
      <c r="L8" s="263" t="str">
        <f t="shared" si="3"/>
        <v/>
      </c>
      <c r="M8" s="262">
        <v>0.28125</v>
      </c>
      <c r="N8" s="258" t="str">
        <f t="shared" si="4"/>
        <v/>
      </c>
      <c r="O8" s="259"/>
      <c r="P8" s="259"/>
      <c r="Q8" s="260"/>
      <c r="R8" s="263" t="str">
        <f t="shared" si="5"/>
        <v/>
      </c>
      <c r="S8" s="262">
        <v>0.28125</v>
      </c>
      <c r="T8" s="258" t="str">
        <f t="shared" si="6"/>
        <v/>
      </c>
      <c r="U8" s="259"/>
      <c r="V8" s="259"/>
      <c r="W8" s="260"/>
      <c r="X8" s="263" t="str">
        <f t="shared" si="7"/>
        <v/>
      </c>
      <c r="Y8" s="262">
        <v>0.28125</v>
      </c>
      <c r="Z8" s="258" t="str">
        <f t="shared" si="8"/>
        <v/>
      </c>
      <c r="AA8" s="259"/>
      <c r="AB8" s="259"/>
      <c r="AC8" s="260"/>
      <c r="AD8" s="263" t="str">
        <f t="shared" si="9"/>
        <v/>
      </c>
    </row>
    <row r="9" spans="1:30" ht="23.25" customHeight="1">
      <c r="A9" s="257">
        <v>0.29166666666666669</v>
      </c>
      <c r="B9" s="258" t="str">
        <f t="shared" si="0"/>
        <v/>
      </c>
      <c r="C9" s="259"/>
      <c r="D9" s="259"/>
      <c r="E9" s="260"/>
      <c r="F9" s="263" t="str">
        <f t="shared" si="1"/>
        <v/>
      </c>
      <c r="G9" s="257">
        <v>0.29166666666666669</v>
      </c>
      <c r="H9" s="258" t="str">
        <f t="shared" si="2"/>
        <v/>
      </c>
      <c r="I9" s="259"/>
      <c r="J9" s="259"/>
      <c r="K9" s="260"/>
      <c r="L9" s="263" t="str">
        <f t="shared" si="3"/>
        <v/>
      </c>
      <c r="M9" s="257">
        <v>0.29166666666666669</v>
      </c>
      <c r="N9" s="258" t="str">
        <f t="shared" si="4"/>
        <v/>
      </c>
      <c r="O9" s="259"/>
      <c r="P9" s="259"/>
      <c r="Q9" s="260"/>
      <c r="R9" s="263" t="str">
        <f t="shared" si="5"/>
        <v/>
      </c>
      <c r="S9" s="257">
        <v>0.29166666666666669</v>
      </c>
      <c r="T9" s="258" t="str">
        <f t="shared" si="6"/>
        <v/>
      </c>
      <c r="U9" s="259"/>
      <c r="V9" s="259"/>
      <c r="W9" s="260"/>
      <c r="X9" s="263" t="str">
        <f t="shared" si="7"/>
        <v/>
      </c>
      <c r="Y9" s="257">
        <v>0.29166666666666669</v>
      </c>
      <c r="Z9" s="258" t="str">
        <f t="shared" si="8"/>
        <v/>
      </c>
      <c r="AA9" s="259"/>
      <c r="AB9" s="259"/>
      <c r="AC9" s="260"/>
      <c r="AD9" s="263" t="str">
        <f t="shared" si="9"/>
        <v/>
      </c>
    </row>
    <row r="10" spans="1:30" ht="23.25" customHeight="1">
      <c r="A10" s="262">
        <v>0.30208333333333331</v>
      </c>
      <c r="B10" s="258" t="str">
        <f t="shared" si="0"/>
        <v/>
      </c>
      <c r="C10" s="259"/>
      <c r="D10" s="259"/>
      <c r="E10" s="260"/>
      <c r="F10" s="263" t="str">
        <f t="shared" si="1"/>
        <v/>
      </c>
      <c r="G10" s="262">
        <v>0.30208333333333331</v>
      </c>
      <c r="H10" s="258" t="str">
        <f t="shared" si="2"/>
        <v/>
      </c>
      <c r="I10" s="259"/>
      <c r="J10" s="259"/>
      <c r="K10" s="260"/>
      <c r="L10" s="263" t="str">
        <f t="shared" si="3"/>
        <v/>
      </c>
      <c r="M10" s="262">
        <v>0.30208333333333331</v>
      </c>
      <c r="N10" s="258" t="str">
        <f t="shared" si="4"/>
        <v/>
      </c>
      <c r="O10" s="259"/>
      <c r="P10" s="259"/>
      <c r="Q10" s="260"/>
      <c r="R10" s="263" t="str">
        <f t="shared" si="5"/>
        <v/>
      </c>
      <c r="S10" s="262">
        <v>0.30208333333333331</v>
      </c>
      <c r="T10" s="258" t="str">
        <f t="shared" si="6"/>
        <v/>
      </c>
      <c r="U10" s="259"/>
      <c r="V10" s="259"/>
      <c r="W10" s="260"/>
      <c r="X10" s="263" t="str">
        <f t="shared" si="7"/>
        <v/>
      </c>
      <c r="Y10" s="262">
        <v>0.30208333333333331</v>
      </c>
      <c r="Z10" s="258" t="str">
        <f t="shared" si="8"/>
        <v/>
      </c>
      <c r="AA10" s="259"/>
      <c r="AB10" s="259"/>
      <c r="AC10" s="260"/>
      <c r="AD10" s="263" t="str">
        <f t="shared" si="9"/>
        <v/>
      </c>
    </row>
    <row r="11" spans="1:30" ht="23.25" customHeight="1">
      <c r="A11" s="264">
        <v>0.3125</v>
      </c>
      <c r="B11" s="258" t="str">
        <f t="shared" si="0"/>
        <v/>
      </c>
      <c r="C11" s="259"/>
      <c r="D11" s="259"/>
      <c r="E11" s="260"/>
      <c r="F11" s="263" t="str">
        <f t="shared" si="1"/>
        <v/>
      </c>
      <c r="G11" s="264">
        <v>0.3125</v>
      </c>
      <c r="H11" s="258" t="str">
        <f t="shared" si="2"/>
        <v/>
      </c>
      <c r="I11" s="259"/>
      <c r="J11" s="259"/>
      <c r="K11" s="260"/>
      <c r="L11" s="263" t="str">
        <f t="shared" si="3"/>
        <v/>
      </c>
      <c r="M11" s="264">
        <v>0.3125</v>
      </c>
      <c r="N11" s="258" t="str">
        <f t="shared" si="4"/>
        <v/>
      </c>
      <c r="O11" s="259"/>
      <c r="P11" s="259"/>
      <c r="Q11" s="260"/>
      <c r="R11" s="263" t="str">
        <f t="shared" si="5"/>
        <v/>
      </c>
      <c r="S11" s="264">
        <v>0.3125</v>
      </c>
      <c r="T11" s="258" t="str">
        <f t="shared" si="6"/>
        <v/>
      </c>
      <c r="U11" s="259"/>
      <c r="V11" s="259"/>
      <c r="W11" s="260"/>
      <c r="X11" s="263" t="str">
        <f t="shared" si="7"/>
        <v/>
      </c>
      <c r="Y11" s="264">
        <v>0.3125</v>
      </c>
      <c r="Z11" s="258" t="str">
        <f t="shared" si="8"/>
        <v/>
      </c>
      <c r="AA11" s="259"/>
      <c r="AB11" s="259"/>
      <c r="AC11" s="260"/>
      <c r="AD11" s="263" t="str">
        <f t="shared" si="9"/>
        <v/>
      </c>
    </row>
    <row r="12" spans="1:30" ht="23.25" customHeight="1">
      <c r="A12" s="262">
        <v>0.32291666666666669</v>
      </c>
      <c r="B12" s="258" t="str">
        <f t="shared" si="0"/>
        <v/>
      </c>
      <c r="C12" s="259"/>
      <c r="D12" s="259"/>
      <c r="E12" s="260"/>
      <c r="F12" s="263" t="str">
        <f t="shared" si="1"/>
        <v/>
      </c>
      <c r="G12" s="262">
        <v>0.32291666666666669</v>
      </c>
      <c r="H12" s="258" t="str">
        <f t="shared" si="2"/>
        <v/>
      </c>
      <c r="I12" s="259"/>
      <c r="J12" s="259"/>
      <c r="K12" s="260"/>
      <c r="L12" s="263" t="str">
        <f t="shared" si="3"/>
        <v/>
      </c>
      <c r="M12" s="262">
        <v>0.32291666666666669</v>
      </c>
      <c r="N12" s="258" t="str">
        <f t="shared" si="4"/>
        <v/>
      </c>
      <c r="O12" s="259"/>
      <c r="P12" s="259"/>
      <c r="Q12" s="260"/>
      <c r="R12" s="263" t="str">
        <f t="shared" si="5"/>
        <v/>
      </c>
      <c r="S12" s="262">
        <v>0.32291666666666669</v>
      </c>
      <c r="T12" s="258" t="str">
        <f t="shared" si="6"/>
        <v/>
      </c>
      <c r="U12" s="259"/>
      <c r="V12" s="259"/>
      <c r="W12" s="260"/>
      <c r="X12" s="263" t="str">
        <f t="shared" si="7"/>
        <v/>
      </c>
      <c r="Y12" s="262">
        <v>0.32291666666666669</v>
      </c>
      <c r="Z12" s="258" t="str">
        <f t="shared" si="8"/>
        <v/>
      </c>
      <c r="AA12" s="259"/>
      <c r="AB12" s="259"/>
      <c r="AC12" s="260"/>
      <c r="AD12" s="263" t="str">
        <f t="shared" si="9"/>
        <v/>
      </c>
    </row>
    <row r="13" spans="1:30" ht="23.25" customHeight="1">
      <c r="A13" s="257">
        <v>0.33333333333333331</v>
      </c>
      <c r="B13" s="258" t="str">
        <f t="shared" si="0"/>
        <v/>
      </c>
      <c r="C13" s="259"/>
      <c r="D13" s="259"/>
      <c r="E13" s="260"/>
      <c r="F13" s="263" t="str">
        <f t="shared" si="1"/>
        <v/>
      </c>
      <c r="G13" s="257">
        <v>0.33333333333333331</v>
      </c>
      <c r="H13" s="258" t="str">
        <f t="shared" si="2"/>
        <v/>
      </c>
      <c r="I13" s="259"/>
      <c r="J13" s="259"/>
      <c r="K13" s="260"/>
      <c r="L13" s="263" t="str">
        <f t="shared" si="3"/>
        <v/>
      </c>
      <c r="M13" s="257">
        <v>0.33333333333333331</v>
      </c>
      <c r="N13" s="258" t="str">
        <f t="shared" si="4"/>
        <v/>
      </c>
      <c r="O13" s="259"/>
      <c r="P13" s="259"/>
      <c r="Q13" s="260"/>
      <c r="R13" s="263" t="str">
        <f t="shared" si="5"/>
        <v/>
      </c>
      <c r="S13" s="257">
        <v>0.33333333333333331</v>
      </c>
      <c r="T13" s="258" t="str">
        <f t="shared" si="6"/>
        <v/>
      </c>
      <c r="U13" s="259"/>
      <c r="V13" s="259"/>
      <c r="W13" s="260"/>
      <c r="X13" s="263" t="str">
        <f t="shared" si="7"/>
        <v/>
      </c>
      <c r="Y13" s="257">
        <v>0.33333333333333331</v>
      </c>
      <c r="Z13" s="258" t="str">
        <f t="shared" si="8"/>
        <v/>
      </c>
      <c r="AA13" s="259"/>
      <c r="AB13" s="259"/>
      <c r="AC13" s="260"/>
      <c r="AD13" s="263" t="str">
        <f t="shared" si="9"/>
        <v/>
      </c>
    </row>
    <row r="14" spans="1:30" ht="23.25" customHeight="1">
      <c r="A14" s="262">
        <v>0.34375</v>
      </c>
      <c r="B14" s="258" t="str">
        <f t="shared" si="0"/>
        <v/>
      </c>
      <c r="C14" s="259"/>
      <c r="D14" s="259"/>
      <c r="E14" s="260"/>
      <c r="F14" s="263" t="str">
        <f t="shared" si="1"/>
        <v/>
      </c>
      <c r="G14" s="262">
        <v>0.34375</v>
      </c>
      <c r="H14" s="258" t="str">
        <f t="shared" si="2"/>
        <v/>
      </c>
      <c r="I14" s="259"/>
      <c r="J14" s="259"/>
      <c r="K14" s="260"/>
      <c r="L14" s="263" t="str">
        <f t="shared" si="3"/>
        <v/>
      </c>
      <c r="M14" s="262">
        <v>0.34375</v>
      </c>
      <c r="N14" s="258" t="str">
        <f t="shared" si="4"/>
        <v/>
      </c>
      <c r="O14" s="259"/>
      <c r="P14" s="259"/>
      <c r="Q14" s="260"/>
      <c r="R14" s="263" t="str">
        <f t="shared" si="5"/>
        <v/>
      </c>
      <c r="S14" s="262">
        <v>0.34375</v>
      </c>
      <c r="T14" s="258" t="str">
        <f t="shared" si="6"/>
        <v/>
      </c>
      <c r="U14" s="259"/>
      <c r="V14" s="259"/>
      <c r="W14" s="260"/>
      <c r="X14" s="263" t="str">
        <f t="shared" si="7"/>
        <v/>
      </c>
      <c r="Y14" s="262">
        <v>0.34375</v>
      </c>
      <c r="Z14" s="258" t="str">
        <f t="shared" si="8"/>
        <v/>
      </c>
      <c r="AA14" s="259"/>
      <c r="AB14" s="259"/>
      <c r="AC14" s="260"/>
      <c r="AD14" s="263" t="str">
        <f t="shared" si="9"/>
        <v/>
      </c>
    </row>
    <row r="15" spans="1:30" ht="23.25" customHeight="1">
      <c r="A15" s="264">
        <v>0.35416666666666669</v>
      </c>
      <c r="B15" s="258" t="str">
        <f t="shared" si="0"/>
        <v/>
      </c>
      <c r="C15" s="259"/>
      <c r="D15" s="259"/>
      <c r="E15" s="260"/>
      <c r="F15" s="263" t="str">
        <f t="shared" si="1"/>
        <v/>
      </c>
      <c r="G15" s="264">
        <v>0.35416666666666669</v>
      </c>
      <c r="H15" s="258" t="str">
        <f t="shared" si="2"/>
        <v/>
      </c>
      <c r="I15" s="259"/>
      <c r="J15" s="259"/>
      <c r="K15" s="260"/>
      <c r="L15" s="263" t="str">
        <f t="shared" si="3"/>
        <v/>
      </c>
      <c r="M15" s="264">
        <v>0.35416666666666669</v>
      </c>
      <c r="N15" s="258" t="str">
        <f t="shared" si="4"/>
        <v/>
      </c>
      <c r="O15" s="259"/>
      <c r="P15" s="259"/>
      <c r="Q15" s="260"/>
      <c r="R15" s="263" t="str">
        <f t="shared" si="5"/>
        <v/>
      </c>
      <c r="S15" s="264">
        <v>0.35416666666666669</v>
      </c>
      <c r="T15" s="258" t="str">
        <f t="shared" si="6"/>
        <v/>
      </c>
      <c r="U15" s="259"/>
      <c r="V15" s="259"/>
      <c r="W15" s="260"/>
      <c r="X15" s="263" t="str">
        <f t="shared" si="7"/>
        <v/>
      </c>
      <c r="Y15" s="264">
        <v>0.35416666666666669</v>
      </c>
      <c r="Z15" s="258" t="str">
        <f t="shared" si="8"/>
        <v/>
      </c>
      <c r="AA15" s="259"/>
      <c r="AB15" s="259"/>
      <c r="AC15" s="260"/>
      <c r="AD15" s="263" t="str">
        <f t="shared" si="9"/>
        <v/>
      </c>
    </row>
    <row r="16" spans="1:30" ht="23.25" customHeight="1">
      <c r="A16" s="262">
        <v>0.36458333333333331</v>
      </c>
      <c r="B16" s="258" t="str">
        <f t="shared" si="0"/>
        <v/>
      </c>
      <c r="C16" s="259"/>
      <c r="D16" s="259"/>
      <c r="E16" s="260"/>
      <c r="F16" s="263" t="str">
        <f t="shared" si="1"/>
        <v/>
      </c>
      <c r="G16" s="262">
        <v>0.36458333333333331</v>
      </c>
      <c r="H16" s="258" t="str">
        <f t="shared" si="2"/>
        <v/>
      </c>
      <c r="I16" s="259"/>
      <c r="J16" s="259"/>
      <c r="K16" s="260"/>
      <c r="L16" s="263" t="str">
        <f t="shared" si="3"/>
        <v/>
      </c>
      <c r="M16" s="262">
        <v>0.36458333333333331</v>
      </c>
      <c r="N16" s="258" t="str">
        <f t="shared" si="4"/>
        <v/>
      </c>
      <c r="O16" s="259"/>
      <c r="P16" s="259"/>
      <c r="Q16" s="260"/>
      <c r="R16" s="263" t="str">
        <f t="shared" si="5"/>
        <v/>
      </c>
      <c r="S16" s="262">
        <v>0.36458333333333331</v>
      </c>
      <c r="T16" s="258" t="str">
        <f t="shared" si="6"/>
        <v/>
      </c>
      <c r="U16" s="259"/>
      <c r="V16" s="259"/>
      <c r="W16" s="260"/>
      <c r="X16" s="263" t="str">
        <f t="shared" si="7"/>
        <v/>
      </c>
      <c r="Y16" s="262">
        <v>0.36458333333333331</v>
      </c>
      <c r="Z16" s="258" t="str">
        <f t="shared" si="8"/>
        <v/>
      </c>
      <c r="AA16" s="259"/>
      <c r="AB16" s="259"/>
      <c r="AC16" s="260"/>
      <c r="AD16" s="263" t="str">
        <f t="shared" si="9"/>
        <v/>
      </c>
    </row>
    <row r="17" spans="1:30" ht="23.25" customHeight="1">
      <c r="A17" s="257">
        <v>0.375</v>
      </c>
      <c r="B17" s="258" t="str">
        <f t="shared" si="0"/>
        <v/>
      </c>
      <c r="C17" s="259"/>
      <c r="D17" s="259"/>
      <c r="E17" s="260"/>
      <c r="F17" s="263" t="str">
        <f t="shared" si="1"/>
        <v/>
      </c>
      <c r="G17" s="257">
        <v>0.375</v>
      </c>
      <c r="H17" s="258" t="str">
        <f t="shared" si="2"/>
        <v/>
      </c>
      <c r="I17" s="259"/>
      <c r="J17" s="259"/>
      <c r="K17" s="260"/>
      <c r="L17" s="263" t="str">
        <f t="shared" si="3"/>
        <v/>
      </c>
      <c r="M17" s="257">
        <v>0.375</v>
      </c>
      <c r="N17" s="258" t="str">
        <f t="shared" si="4"/>
        <v/>
      </c>
      <c r="O17" s="259"/>
      <c r="P17" s="259"/>
      <c r="Q17" s="260"/>
      <c r="R17" s="263" t="str">
        <f t="shared" si="5"/>
        <v/>
      </c>
      <c r="S17" s="257">
        <v>0.375</v>
      </c>
      <c r="T17" s="258" t="str">
        <f t="shared" si="6"/>
        <v/>
      </c>
      <c r="U17" s="259"/>
      <c r="V17" s="259"/>
      <c r="W17" s="260"/>
      <c r="X17" s="263" t="str">
        <f t="shared" si="7"/>
        <v/>
      </c>
      <c r="Y17" s="257">
        <v>0.375</v>
      </c>
      <c r="Z17" s="258" t="str">
        <f t="shared" si="8"/>
        <v/>
      </c>
      <c r="AA17" s="259"/>
      <c r="AB17" s="259"/>
      <c r="AC17" s="260"/>
      <c r="AD17" s="263" t="str">
        <f t="shared" si="9"/>
        <v/>
      </c>
    </row>
    <row r="18" spans="1:30" ht="23.25" customHeight="1">
      <c r="A18" s="262">
        <v>0.38541666666666669</v>
      </c>
      <c r="B18" s="258" t="str">
        <f t="shared" si="0"/>
        <v/>
      </c>
      <c r="C18" s="259"/>
      <c r="D18" s="259"/>
      <c r="E18" s="260"/>
      <c r="F18" s="263" t="str">
        <f t="shared" si="1"/>
        <v/>
      </c>
      <c r="G18" s="262">
        <v>0.38541666666666669</v>
      </c>
      <c r="H18" s="258" t="str">
        <f t="shared" si="2"/>
        <v/>
      </c>
      <c r="I18" s="259"/>
      <c r="J18" s="259"/>
      <c r="K18" s="260"/>
      <c r="L18" s="263" t="str">
        <f t="shared" si="3"/>
        <v/>
      </c>
      <c r="M18" s="262">
        <v>0.38541666666666669</v>
      </c>
      <c r="N18" s="258" t="str">
        <f t="shared" si="4"/>
        <v/>
      </c>
      <c r="O18" s="259"/>
      <c r="P18" s="259"/>
      <c r="Q18" s="260"/>
      <c r="R18" s="263" t="str">
        <f t="shared" si="5"/>
        <v/>
      </c>
      <c r="S18" s="262">
        <v>0.38541666666666669</v>
      </c>
      <c r="T18" s="258" t="str">
        <f t="shared" si="6"/>
        <v/>
      </c>
      <c r="U18" s="259"/>
      <c r="V18" s="259"/>
      <c r="W18" s="260"/>
      <c r="X18" s="263" t="str">
        <f t="shared" si="7"/>
        <v/>
      </c>
      <c r="Y18" s="262">
        <v>0.38541666666666669</v>
      </c>
      <c r="Z18" s="258" t="str">
        <f t="shared" si="8"/>
        <v/>
      </c>
      <c r="AA18" s="259"/>
      <c r="AB18" s="259"/>
      <c r="AC18" s="260"/>
      <c r="AD18" s="263" t="str">
        <f t="shared" si="9"/>
        <v/>
      </c>
    </row>
    <row r="19" spans="1:30" ht="23.25" customHeight="1">
      <c r="A19" s="264">
        <v>0.39583333333333331</v>
      </c>
      <c r="B19" s="258" t="str">
        <f t="shared" si="0"/>
        <v/>
      </c>
      <c r="C19" s="259"/>
      <c r="D19" s="259"/>
      <c r="E19" s="260"/>
      <c r="F19" s="263" t="str">
        <f t="shared" si="1"/>
        <v/>
      </c>
      <c r="G19" s="264">
        <v>0.39583333333333331</v>
      </c>
      <c r="H19" s="258" t="str">
        <f t="shared" si="2"/>
        <v/>
      </c>
      <c r="I19" s="259"/>
      <c r="J19" s="259"/>
      <c r="K19" s="260"/>
      <c r="L19" s="263" t="str">
        <f t="shared" si="3"/>
        <v/>
      </c>
      <c r="M19" s="264">
        <v>0.39583333333333331</v>
      </c>
      <c r="N19" s="258" t="str">
        <f t="shared" si="4"/>
        <v/>
      </c>
      <c r="O19" s="259"/>
      <c r="P19" s="259"/>
      <c r="Q19" s="260"/>
      <c r="R19" s="263" t="str">
        <f t="shared" si="5"/>
        <v/>
      </c>
      <c r="S19" s="264">
        <v>0.39583333333333331</v>
      </c>
      <c r="T19" s="258" t="str">
        <f t="shared" si="6"/>
        <v/>
      </c>
      <c r="U19" s="259"/>
      <c r="V19" s="259"/>
      <c r="W19" s="260"/>
      <c r="X19" s="263" t="str">
        <f t="shared" si="7"/>
        <v/>
      </c>
      <c r="Y19" s="264">
        <v>0.39583333333333331</v>
      </c>
      <c r="Z19" s="258" t="str">
        <f t="shared" si="8"/>
        <v/>
      </c>
      <c r="AA19" s="259"/>
      <c r="AB19" s="259"/>
      <c r="AC19" s="260"/>
      <c r="AD19" s="263" t="str">
        <f t="shared" si="9"/>
        <v/>
      </c>
    </row>
    <row r="20" spans="1:30" ht="23.25" customHeight="1">
      <c r="A20" s="262">
        <v>0.40625</v>
      </c>
      <c r="B20" s="258" t="str">
        <f t="shared" si="0"/>
        <v/>
      </c>
      <c r="C20" s="259"/>
      <c r="D20" s="259"/>
      <c r="E20" s="260"/>
      <c r="F20" s="263" t="str">
        <f t="shared" si="1"/>
        <v/>
      </c>
      <c r="G20" s="262">
        <v>0.40625</v>
      </c>
      <c r="H20" s="258" t="str">
        <f t="shared" si="2"/>
        <v/>
      </c>
      <c r="I20" s="259"/>
      <c r="J20" s="259"/>
      <c r="K20" s="260"/>
      <c r="L20" s="263" t="str">
        <f t="shared" si="3"/>
        <v/>
      </c>
      <c r="M20" s="262">
        <v>0.40625</v>
      </c>
      <c r="N20" s="258" t="str">
        <f t="shared" si="4"/>
        <v/>
      </c>
      <c r="O20" s="259"/>
      <c r="P20" s="259"/>
      <c r="Q20" s="260"/>
      <c r="R20" s="263" t="str">
        <f t="shared" si="5"/>
        <v/>
      </c>
      <c r="S20" s="262">
        <v>0.40625</v>
      </c>
      <c r="T20" s="258" t="str">
        <f t="shared" si="6"/>
        <v/>
      </c>
      <c r="U20" s="259"/>
      <c r="V20" s="259"/>
      <c r="W20" s="260"/>
      <c r="X20" s="263" t="str">
        <f t="shared" si="7"/>
        <v/>
      </c>
      <c r="Y20" s="262">
        <v>0.40625</v>
      </c>
      <c r="Z20" s="258" t="str">
        <f t="shared" si="8"/>
        <v/>
      </c>
      <c r="AA20" s="259"/>
      <c r="AB20" s="259"/>
      <c r="AC20" s="260"/>
      <c r="AD20" s="263" t="str">
        <f t="shared" si="9"/>
        <v/>
      </c>
    </row>
    <row r="21" spans="1:30" ht="23.25" customHeight="1">
      <c r="A21" s="257">
        <v>0.41666666666666669</v>
      </c>
      <c r="B21" s="258" t="str">
        <f t="shared" si="0"/>
        <v/>
      </c>
      <c r="C21" s="259"/>
      <c r="D21" s="259"/>
      <c r="E21" s="260"/>
      <c r="F21" s="263" t="str">
        <f t="shared" si="1"/>
        <v/>
      </c>
      <c r="G21" s="257">
        <v>0.41666666666666669</v>
      </c>
      <c r="H21" s="258" t="str">
        <f t="shared" si="2"/>
        <v/>
      </c>
      <c r="I21" s="259"/>
      <c r="J21" s="259"/>
      <c r="K21" s="260"/>
      <c r="L21" s="263" t="str">
        <f t="shared" si="3"/>
        <v/>
      </c>
      <c r="M21" s="257">
        <v>0.41666666666666669</v>
      </c>
      <c r="N21" s="258" t="str">
        <f t="shared" si="4"/>
        <v/>
      </c>
      <c r="O21" s="259"/>
      <c r="P21" s="259"/>
      <c r="Q21" s="260"/>
      <c r="R21" s="263" t="str">
        <f t="shared" si="5"/>
        <v/>
      </c>
      <c r="S21" s="257">
        <v>0.41666666666666669</v>
      </c>
      <c r="T21" s="258" t="str">
        <f t="shared" si="6"/>
        <v/>
      </c>
      <c r="U21" s="259"/>
      <c r="V21" s="259"/>
      <c r="W21" s="260"/>
      <c r="X21" s="263" t="str">
        <f t="shared" si="7"/>
        <v/>
      </c>
      <c r="Y21" s="257">
        <v>0.41666666666666669</v>
      </c>
      <c r="Z21" s="258" t="str">
        <f t="shared" si="8"/>
        <v/>
      </c>
      <c r="AA21" s="259"/>
      <c r="AB21" s="259"/>
      <c r="AC21" s="260"/>
      <c r="AD21" s="263" t="str">
        <f t="shared" si="9"/>
        <v/>
      </c>
    </row>
    <row r="22" spans="1:30" ht="23.25" customHeight="1">
      <c r="A22" s="262">
        <v>0.42708333333333331</v>
      </c>
      <c r="B22" s="258" t="str">
        <f t="shared" si="0"/>
        <v/>
      </c>
      <c r="C22" s="259"/>
      <c r="D22" s="259"/>
      <c r="E22" s="260"/>
      <c r="F22" s="263" t="str">
        <f t="shared" si="1"/>
        <v/>
      </c>
      <c r="G22" s="262">
        <v>0.42708333333333331</v>
      </c>
      <c r="H22" s="258" t="str">
        <f t="shared" si="2"/>
        <v/>
      </c>
      <c r="I22" s="259"/>
      <c r="J22" s="259"/>
      <c r="K22" s="260"/>
      <c r="L22" s="263" t="str">
        <f t="shared" si="3"/>
        <v/>
      </c>
      <c r="M22" s="262">
        <v>0.42708333333333331</v>
      </c>
      <c r="N22" s="258" t="str">
        <f t="shared" si="4"/>
        <v/>
      </c>
      <c r="O22" s="259"/>
      <c r="P22" s="259"/>
      <c r="Q22" s="260"/>
      <c r="R22" s="263" t="str">
        <f t="shared" si="5"/>
        <v/>
      </c>
      <c r="S22" s="262">
        <v>0.42708333333333331</v>
      </c>
      <c r="T22" s="258" t="str">
        <f t="shared" si="6"/>
        <v/>
      </c>
      <c r="U22" s="259"/>
      <c r="V22" s="259"/>
      <c r="W22" s="260"/>
      <c r="X22" s="263" t="str">
        <f t="shared" si="7"/>
        <v/>
      </c>
      <c r="Y22" s="262">
        <v>0.42708333333333331</v>
      </c>
      <c r="Z22" s="258" t="str">
        <f t="shared" si="8"/>
        <v/>
      </c>
      <c r="AA22" s="259"/>
      <c r="AB22" s="259"/>
      <c r="AC22" s="260"/>
      <c r="AD22" s="263" t="str">
        <f t="shared" si="9"/>
        <v/>
      </c>
    </row>
    <row r="23" spans="1:30" ht="23.25" customHeight="1">
      <c r="A23" s="264">
        <v>0.4375</v>
      </c>
      <c r="B23" s="258" t="str">
        <f t="shared" si="0"/>
        <v/>
      </c>
      <c r="C23" s="259"/>
      <c r="D23" s="259"/>
      <c r="E23" s="260"/>
      <c r="F23" s="263" t="str">
        <f t="shared" si="1"/>
        <v/>
      </c>
      <c r="G23" s="264">
        <v>0.4375</v>
      </c>
      <c r="H23" s="258" t="str">
        <f t="shared" si="2"/>
        <v/>
      </c>
      <c r="I23" s="259"/>
      <c r="J23" s="259"/>
      <c r="K23" s="260"/>
      <c r="L23" s="263" t="str">
        <f t="shared" si="3"/>
        <v/>
      </c>
      <c r="M23" s="264">
        <v>0.4375</v>
      </c>
      <c r="N23" s="258" t="str">
        <f t="shared" si="4"/>
        <v/>
      </c>
      <c r="O23" s="259"/>
      <c r="P23" s="259"/>
      <c r="Q23" s="260"/>
      <c r="R23" s="263" t="str">
        <f t="shared" si="5"/>
        <v/>
      </c>
      <c r="S23" s="264">
        <v>0.4375</v>
      </c>
      <c r="T23" s="258" t="str">
        <f t="shared" si="6"/>
        <v/>
      </c>
      <c r="U23" s="259"/>
      <c r="V23" s="259"/>
      <c r="W23" s="260"/>
      <c r="X23" s="263" t="str">
        <f t="shared" si="7"/>
        <v/>
      </c>
      <c r="Y23" s="264">
        <v>0.4375</v>
      </c>
      <c r="Z23" s="258" t="str">
        <f t="shared" si="8"/>
        <v/>
      </c>
      <c r="AA23" s="259"/>
      <c r="AB23" s="259"/>
      <c r="AC23" s="260"/>
      <c r="AD23" s="263" t="str">
        <f t="shared" si="9"/>
        <v/>
      </c>
    </row>
    <row r="24" spans="1:30" ht="23.25" customHeight="1">
      <c r="A24" s="262">
        <v>0.44791666666666669</v>
      </c>
      <c r="B24" s="258" t="str">
        <f t="shared" si="0"/>
        <v/>
      </c>
      <c r="C24" s="259"/>
      <c r="D24" s="259"/>
      <c r="E24" s="260"/>
      <c r="F24" s="263" t="str">
        <f t="shared" si="1"/>
        <v/>
      </c>
      <c r="G24" s="262">
        <v>0.44791666666666669</v>
      </c>
      <c r="H24" s="258" t="str">
        <f t="shared" si="2"/>
        <v/>
      </c>
      <c r="I24" s="259"/>
      <c r="J24" s="259"/>
      <c r="K24" s="260"/>
      <c r="L24" s="263" t="str">
        <f t="shared" si="3"/>
        <v/>
      </c>
      <c r="M24" s="262">
        <v>0.44791666666666669</v>
      </c>
      <c r="N24" s="258" t="str">
        <f t="shared" si="4"/>
        <v/>
      </c>
      <c r="O24" s="259"/>
      <c r="P24" s="259"/>
      <c r="Q24" s="260"/>
      <c r="R24" s="263" t="str">
        <f t="shared" si="5"/>
        <v/>
      </c>
      <c r="S24" s="262">
        <v>0.44791666666666669</v>
      </c>
      <c r="T24" s="258" t="str">
        <f t="shared" si="6"/>
        <v/>
      </c>
      <c r="U24" s="259"/>
      <c r="V24" s="259"/>
      <c r="W24" s="260"/>
      <c r="X24" s="263" t="str">
        <f t="shared" si="7"/>
        <v/>
      </c>
      <c r="Y24" s="262">
        <v>0.44791666666666669</v>
      </c>
      <c r="Z24" s="258" t="str">
        <f t="shared" si="8"/>
        <v/>
      </c>
      <c r="AA24" s="259"/>
      <c r="AB24" s="259"/>
      <c r="AC24" s="260"/>
      <c r="AD24" s="263" t="str">
        <f t="shared" si="9"/>
        <v/>
      </c>
    </row>
    <row r="25" spans="1:30" ht="23.25" customHeight="1">
      <c r="A25" s="257">
        <v>0.45833333333333331</v>
      </c>
      <c r="B25" s="258" t="str">
        <f t="shared" si="0"/>
        <v/>
      </c>
      <c r="C25" s="259"/>
      <c r="D25" s="259"/>
      <c r="E25" s="260"/>
      <c r="F25" s="263" t="str">
        <f t="shared" si="1"/>
        <v/>
      </c>
      <c r="G25" s="257">
        <v>0.45833333333333331</v>
      </c>
      <c r="H25" s="258" t="str">
        <f t="shared" si="2"/>
        <v/>
      </c>
      <c r="I25" s="259"/>
      <c r="J25" s="259"/>
      <c r="K25" s="260"/>
      <c r="L25" s="263" t="str">
        <f t="shared" si="3"/>
        <v/>
      </c>
      <c r="M25" s="257">
        <v>0.45833333333333331</v>
      </c>
      <c r="N25" s="258" t="str">
        <f t="shared" si="4"/>
        <v/>
      </c>
      <c r="O25" s="259"/>
      <c r="P25" s="259"/>
      <c r="Q25" s="260"/>
      <c r="R25" s="263" t="str">
        <f t="shared" si="5"/>
        <v/>
      </c>
      <c r="S25" s="257">
        <v>0.45833333333333331</v>
      </c>
      <c r="T25" s="258" t="str">
        <f t="shared" si="6"/>
        <v/>
      </c>
      <c r="U25" s="259"/>
      <c r="V25" s="259"/>
      <c r="W25" s="260"/>
      <c r="X25" s="263" t="str">
        <f t="shared" si="7"/>
        <v/>
      </c>
      <c r="Y25" s="257">
        <v>0.45833333333333331</v>
      </c>
      <c r="Z25" s="258" t="str">
        <f t="shared" si="8"/>
        <v/>
      </c>
      <c r="AA25" s="259"/>
      <c r="AB25" s="259"/>
      <c r="AC25" s="260"/>
      <c r="AD25" s="263" t="str">
        <f t="shared" si="9"/>
        <v/>
      </c>
    </row>
    <row r="26" spans="1:30" ht="23.25" customHeight="1">
      <c r="A26" s="262">
        <v>0.46875</v>
      </c>
      <c r="B26" s="258" t="str">
        <f t="shared" si="0"/>
        <v/>
      </c>
      <c r="C26" s="259"/>
      <c r="D26" s="259"/>
      <c r="E26" s="260"/>
      <c r="F26" s="263" t="str">
        <f t="shared" si="1"/>
        <v/>
      </c>
      <c r="G26" s="262">
        <v>0.46875</v>
      </c>
      <c r="H26" s="258" t="str">
        <f t="shared" si="2"/>
        <v/>
      </c>
      <c r="I26" s="259"/>
      <c r="J26" s="259"/>
      <c r="K26" s="260"/>
      <c r="L26" s="263" t="str">
        <f t="shared" si="3"/>
        <v/>
      </c>
      <c r="M26" s="262">
        <v>0.46875</v>
      </c>
      <c r="N26" s="258" t="str">
        <f t="shared" si="4"/>
        <v/>
      </c>
      <c r="O26" s="259"/>
      <c r="P26" s="259"/>
      <c r="Q26" s="260"/>
      <c r="R26" s="263" t="str">
        <f t="shared" si="5"/>
        <v/>
      </c>
      <c r="S26" s="262">
        <v>0.46875</v>
      </c>
      <c r="T26" s="258" t="str">
        <f t="shared" si="6"/>
        <v/>
      </c>
      <c r="U26" s="259"/>
      <c r="V26" s="259"/>
      <c r="W26" s="260"/>
      <c r="X26" s="263" t="str">
        <f t="shared" si="7"/>
        <v/>
      </c>
      <c r="Y26" s="262">
        <v>0.46875</v>
      </c>
      <c r="Z26" s="258" t="str">
        <f t="shared" si="8"/>
        <v/>
      </c>
      <c r="AA26" s="259"/>
      <c r="AB26" s="259"/>
      <c r="AC26" s="260"/>
      <c r="AD26" s="263" t="str">
        <f t="shared" si="9"/>
        <v/>
      </c>
    </row>
    <row r="27" spans="1:30" ht="23.25" customHeight="1">
      <c r="A27" s="264">
        <v>0.47916666666666669</v>
      </c>
      <c r="B27" s="258" t="str">
        <f t="shared" si="0"/>
        <v/>
      </c>
      <c r="C27" s="259"/>
      <c r="D27" s="259"/>
      <c r="E27" s="260"/>
      <c r="F27" s="263" t="str">
        <f t="shared" si="1"/>
        <v/>
      </c>
      <c r="G27" s="264">
        <v>0.47916666666666669</v>
      </c>
      <c r="H27" s="258" t="str">
        <f t="shared" si="2"/>
        <v/>
      </c>
      <c r="I27" s="259"/>
      <c r="J27" s="259"/>
      <c r="K27" s="260"/>
      <c r="L27" s="263" t="str">
        <f t="shared" si="3"/>
        <v/>
      </c>
      <c r="M27" s="264">
        <v>0.47916666666666669</v>
      </c>
      <c r="N27" s="258" t="str">
        <f t="shared" si="4"/>
        <v/>
      </c>
      <c r="O27" s="259"/>
      <c r="P27" s="259"/>
      <c r="Q27" s="260"/>
      <c r="R27" s="263" t="str">
        <f t="shared" si="5"/>
        <v/>
      </c>
      <c r="S27" s="264">
        <v>0.47916666666666669</v>
      </c>
      <c r="T27" s="258" t="str">
        <f t="shared" si="6"/>
        <v/>
      </c>
      <c r="U27" s="259"/>
      <c r="V27" s="259"/>
      <c r="W27" s="260"/>
      <c r="X27" s="263" t="str">
        <f t="shared" si="7"/>
        <v/>
      </c>
      <c r="Y27" s="264">
        <v>0.47916666666666669</v>
      </c>
      <c r="Z27" s="258" t="str">
        <f t="shared" si="8"/>
        <v/>
      </c>
      <c r="AA27" s="259"/>
      <c r="AB27" s="259"/>
      <c r="AC27" s="260"/>
      <c r="AD27" s="263" t="str">
        <f t="shared" si="9"/>
        <v/>
      </c>
    </row>
    <row r="28" spans="1:30" ht="23.25" customHeight="1">
      <c r="A28" s="262">
        <v>0.48958333333333331</v>
      </c>
      <c r="B28" s="258" t="str">
        <f t="shared" si="0"/>
        <v/>
      </c>
      <c r="C28" s="259"/>
      <c r="D28" s="259"/>
      <c r="E28" s="260"/>
      <c r="F28" s="263" t="str">
        <f t="shared" si="1"/>
        <v/>
      </c>
      <c r="G28" s="262">
        <v>0.48958333333333331</v>
      </c>
      <c r="H28" s="258" t="str">
        <f t="shared" si="2"/>
        <v/>
      </c>
      <c r="I28" s="259"/>
      <c r="J28" s="259"/>
      <c r="K28" s="260"/>
      <c r="L28" s="263" t="str">
        <f t="shared" si="3"/>
        <v/>
      </c>
      <c r="M28" s="262">
        <v>0.48958333333333331</v>
      </c>
      <c r="N28" s="258" t="str">
        <f t="shared" si="4"/>
        <v/>
      </c>
      <c r="O28" s="259"/>
      <c r="P28" s="259"/>
      <c r="Q28" s="260"/>
      <c r="R28" s="263" t="str">
        <f t="shared" si="5"/>
        <v/>
      </c>
      <c r="S28" s="262">
        <v>0.48958333333333331</v>
      </c>
      <c r="T28" s="258" t="str">
        <f t="shared" si="6"/>
        <v/>
      </c>
      <c r="U28" s="259"/>
      <c r="V28" s="259"/>
      <c r="W28" s="260"/>
      <c r="X28" s="263" t="str">
        <f t="shared" si="7"/>
        <v/>
      </c>
      <c r="Y28" s="262">
        <v>0.48958333333333331</v>
      </c>
      <c r="Z28" s="258" t="str">
        <f t="shared" si="8"/>
        <v/>
      </c>
      <c r="AA28" s="259"/>
      <c r="AB28" s="259"/>
      <c r="AC28" s="260"/>
      <c r="AD28" s="263" t="str">
        <f t="shared" si="9"/>
        <v/>
      </c>
    </row>
    <row r="29" spans="1:30" ht="23.25" customHeight="1">
      <c r="A29" s="257">
        <v>0.5</v>
      </c>
      <c r="B29" s="258" t="str">
        <f t="shared" si="0"/>
        <v/>
      </c>
      <c r="C29" s="259"/>
      <c r="D29" s="259"/>
      <c r="E29" s="260"/>
      <c r="F29" s="263" t="str">
        <f t="shared" si="1"/>
        <v/>
      </c>
      <c r="G29" s="257">
        <v>0.5</v>
      </c>
      <c r="H29" s="258" t="str">
        <f t="shared" si="2"/>
        <v/>
      </c>
      <c r="I29" s="259"/>
      <c r="J29" s="259"/>
      <c r="K29" s="260"/>
      <c r="L29" s="263" t="str">
        <f t="shared" si="3"/>
        <v/>
      </c>
      <c r="M29" s="257">
        <v>0.5</v>
      </c>
      <c r="N29" s="258" t="str">
        <f t="shared" si="4"/>
        <v/>
      </c>
      <c r="O29" s="259"/>
      <c r="P29" s="259"/>
      <c r="Q29" s="260"/>
      <c r="R29" s="263" t="str">
        <f t="shared" si="5"/>
        <v/>
      </c>
      <c r="S29" s="257">
        <v>0.5</v>
      </c>
      <c r="T29" s="258" t="str">
        <f t="shared" si="6"/>
        <v/>
      </c>
      <c r="U29" s="259"/>
      <c r="V29" s="259"/>
      <c r="W29" s="260"/>
      <c r="X29" s="263" t="str">
        <f t="shared" si="7"/>
        <v/>
      </c>
      <c r="Y29" s="257">
        <v>0.5</v>
      </c>
      <c r="Z29" s="258" t="str">
        <f t="shared" si="8"/>
        <v/>
      </c>
      <c r="AA29" s="259"/>
      <c r="AB29" s="259"/>
      <c r="AC29" s="260"/>
      <c r="AD29" s="263" t="str">
        <f t="shared" si="9"/>
        <v/>
      </c>
    </row>
    <row r="30" spans="1:30" ht="23.25" customHeight="1">
      <c r="A30" s="262">
        <v>0.51041666666666663</v>
      </c>
      <c r="B30" s="258" t="str">
        <f t="shared" si="0"/>
        <v/>
      </c>
      <c r="C30" s="259"/>
      <c r="D30" s="259"/>
      <c r="E30" s="260"/>
      <c r="F30" s="263" t="str">
        <f t="shared" si="1"/>
        <v/>
      </c>
      <c r="G30" s="262">
        <v>0.51041666666666663</v>
      </c>
      <c r="H30" s="258" t="str">
        <f t="shared" si="2"/>
        <v/>
      </c>
      <c r="I30" s="259"/>
      <c r="J30" s="259"/>
      <c r="K30" s="260"/>
      <c r="L30" s="263" t="str">
        <f t="shared" si="3"/>
        <v/>
      </c>
      <c r="M30" s="262">
        <v>0.51041666666666663</v>
      </c>
      <c r="N30" s="258" t="str">
        <f t="shared" si="4"/>
        <v/>
      </c>
      <c r="O30" s="259"/>
      <c r="P30" s="259"/>
      <c r="Q30" s="260"/>
      <c r="R30" s="263" t="str">
        <f t="shared" si="5"/>
        <v/>
      </c>
      <c r="S30" s="262">
        <v>0.51041666666666663</v>
      </c>
      <c r="T30" s="258" t="str">
        <f t="shared" si="6"/>
        <v/>
      </c>
      <c r="U30" s="259"/>
      <c r="V30" s="259"/>
      <c r="W30" s="260"/>
      <c r="X30" s="263" t="str">
        <f t="shared" si="7"/>
        <v/>
      </c>
      <c r="Y30" s="262">
        <v>0.51041666666666663</v>
      </c>
      <c r="Z30" s="258" t="str">
        <f t="shared" si="8"/>
        <v/>
      </c>
      <c r="AA30" s="259"/>
      <c r="AB30" s="259"/>
      <c r="AC30" s="260"/>
      <c r="AD30" s="263" t="str">
        <f t="shared" si="9"/>
        <v/>
      </c>
    </row>
    <row r="31" spans="1:30" ht="23.25" customHeight="1">
      <c r="A31" s="264">
        <v>0.52083333333333337</v>
      </c>
      <c r="B31" s="258" t="str">
        <f t="shared" si="0"/>
        <v/>
      </c>
      <c r="C31" s="259"/>
      <c r="D31" s="259"/>
      <c r="E31" s="260"/>
      <c r="F31" s="263" t="str">
        <f t="shared" si="1"/>
        <v/>
      </c>
      <c r="G31" s="264">
        <v>0.52083333333333337</v>
      </c>
      <c r="H31" s="258" t="str">
        <f t="shared" si="2"/>
        <v/>
      </c>
      <c r="I31" s="259"/>
      <c r="J31" s="259"/>
      <c r="K31" s="260"/>
      <c r="L31" s="263" t="str">
        <f t="shared" si="3"/>
        <v/>
      </c>
      <c r="M31" s="264">
        <v>0.52083333333333337</v>
      </c>
      <c r="N31" s="258" t="str">
        <f t="shared" si="4"/>
        <v/>
      </c>
      <c r="O31" s="259"/>
      <c r="P31" s="259"/>
      <c r="Q31" s="260"/>
      <c r="R31" s="263" t="str">
        <f t="shared" si="5"/>
        <v/>
      </c>
      <c r="S31" s="264">
        <v>0.52083333333333337</v>
      </c>
      <c r="T31" s="258" t="str">
        <f t="shared" si="6"/>
        <v/>
      </c>
      <c r="U31" s="259"/>
      <c r="V31" s="259"/>
      <c r="W31" s="260"/>
      <c r="X31" s="263" t="str">
        <f t="shared" si="7"/>
        <v/>
      </c>
      <c r="Y31" s="264">
        <v>0.52083333333333337</v>
      </c>
      <c r="Z31" s="258" t="str">
        <f t="shared" si="8"/>
        <v/>
      </c>
      <c r="AA31" s="259"/>
      <c r="AB31" s="259"/>
      <c r="AC31" s="260"/>
      <c r="AD31" s="263" t="str">
        <f t="shared" si="9"/>
        <v/>
      </c>
    </row>
    <row r="32" spans="1:30" ht="23.25" customHeight="1">
      <c r="A32" s="262">
        <v>0.53125</v>
      </c>
      <c r="B32" s="258" t="str">
        <f t="shared" si="0"/>
        <v/>
      </c>
      <c r="C32" s="259"/>
      <c r="D32" s="259"/>
      <c r="E32" s="260"/>
      <c r="F32" s="263" t="str">
        <f t="shared" si="1"/>
        <v/>
      </c>
      <c r="G32" s="262">
        <v>0.53125</v>
      </c>
      <c r="H32" s="258" t="str">
        <f t="shared" si="2"/>
        <v/>
      </c>
      <c r="I32" s="259"/>
      <c r="J32" s="259"/>
      <c r="K32" s="260"/>
      <c r="L32" s="263" t="str">
        <f t="shared" si="3"/>
        <v/>
      </c>
      <c r="M32" s="262">
        <v>0.53125</v>
      </c>
      <c r="N32" s="258" t="str">
        <f t="shared" si="4"/>
        <v/>
      </c>
      <c r="O32" s="259"/>
      <c r="P32" s="259"/>
      <c r="Q32" s="260"/>
      <c r="R32" s="263" t="str">
        <f t="shared" si="5"/>
        <v/>
      </c>
      <c r="S32" s="262">
        <v>0.53125</v>
      </c>
      <c r="T32" s="258" t="str">
        <f t="shared" si="6"/>
        <v/>
      </c>
      <c r="U32" s="259"/>
      <c r="V32" s="259"/>
      <c r="W32" s="260"/>
      <c r="X32" s="263" t="str">
        <f t="shared" si="7"/>
        <v/>
      </c>
      <c r="Y32" s="262">
        <v>0.53125</v>
      </c>
      <c r="Z32" s="258" t="str">
        <f t="shared" si="8"/>
        <v/>
      </c>
      <c r="AA32" s="259"/>
      <c r="AB32" s="259"/>
      <c r="AC32" s="260"/>
      <c r="AD32" s="263" t="str">
        <f t="shared" si="9"/>
        <v/>
      </c>
    </row>
    <row r="33" spans="1:30" ht="23.25" customHeight="1">
      <c r="A33" s="257">
        <v>0.54166666666666663</v>
      </c>
      <c r="B33" s="258" t="str">
        <f t="shared" si="0"/>
        <v/>
      </c>
      <c r="C33" s="259"/>
      <c r="D33" s="259"/>
      <c r="E33" s="260"/>
      <c r="F33" s="263" t="str">
        <f t="shared" si="1"/>
        <v/>
      </c>
      <c r="G33" s="257">
        <v>0.54166666666666663</v>
      </c>
      <c r="H33" s="258" t="str">
        <f t="shared" si="2"/>
        <v/>
      </c>
      <c r="I33" s="259"/>
      <c r="J33" s="259"/>
      <c r="K33" s="260"/>
      <c r="L33" s="263" t="str">
        <f t="shared" si="3"/>
        <v/>
      </c>
      <c r="M33" s="257">
        <v>0.54166666666666663</v>
      </c>
      <c r="N33" s="258" t="str">
        <f t="shared" si="4"/>
        <v/>
      </c>
      <c r="O33" s="259"/>
      <c r="P33" s="259"/>
      <c r="Q33" s="260"/>
      <c r="R33" s="263" t="str">
        <f t="shared" si="5"/>
        <v/>
      </c>
      <c r="S33" s="257">
        <v>0.54166666666666663</v>
      </c>
      <c r="T33" s="258" t="str">
        <f t="shared" si="6"/>
        <v/>
      </c>
      <c r="U33" s="259"/>
      <c r="V33" s="259"/>
      <c r="W33" s="260"/>
      <c r="X33" s="263" t="str">
        <f t="shared" si="7"/>
        <v/>
      </c>
      <c r="Y33" s="257">
        <v>0.54166666666666663</v>
      </c>
      <c r="Z33" s="258" t="str">
        <f t="shared" si="8"/>
        <v/>
      </c>
      <c r="AA33" s="259"/>
      <c r="AB33" s="259"/>
      <c r="AC33" s="260"/>
      <c r="AD33" s="263" t="str">
        <f t="shared" si="9"/>
        <v/>
      </c>
    </row>
    <row r="34" spans="1:30" ht="23.25" customHeight="1">
      <c r="A34" s="262">
        <v>0.55208333333333337</v>
      </c>
      <c r="B34" s="258" t="str">
        <f t="shared" si="0"/>
        <v/>
      </c>
      <c r="C34" s="259"/>
      <c r="D34" s="259"/>
      <c r="E34" s="260"/>
      <c r="F34" s="263" t="str">
        <f t="shared" si="1"/>
        <v/>
      </c>
      <c r="G34" s="262">
        <v>0.55208333333333337</v>
      </c>
      <c r="H34" s="258" t="str">
        <f t="shared" si="2"/>
        <v/>
      </c>
      <c r="I34" s="259"/>
      <c r="J34" s="259"/>
      <c r="K34" s="260"/>
      <c r="L34" s="263" t="str">
        <f t="shared" si="3"/>
        <v/>
      </c>
      <c r="M34" s="262">
        <v>0.55208333333333337</v>
      </c>
      <c r="N34" s="258" t="str">
        <f t="shared" si="4"/>
        <v/>
      </c>
      <c r="O34" s="259"/>
      <c r="P34" s="259"/>
      <c r="Q34" s="260"/>
      <c r="R34" s="263" t="str">
        <f t="shared" si="5"/>
        <v/>
      </c>
      <c r="S34" s="262">
        <v>0.55208333333333337</v>
      </c>
      <c r="T34" s="258" t="str">
        <f t="shared" si="6"/>
        <v/>
      </c>
      <c r="U34" s="259"/>
      <c r="V34" s="259"/>
      <c r="W34" s="260"/>
      <c r="X34" s="263" t="str">
        <f t="shared" si="7"/>
        <v/>
      </c>
      <c r="Y34" s="262">
        <v>0.55208333333333337</v>
      </c>
      <c r="Z34" s="258" t="str">
        <f t="shared" si="8"/>
        <v/>
      </c>
      <c r="AA34" s="259"/>
      <c r="AB34" s="259"/>
      <c r="AC34" s="260"/>
      <c r="AD34" s="263" t="str">
        <f t="shared" si="9"/>
        <v/>
      </c>
    </row>
    <row r="35" spans="1:30" ht="23.25" customHeight="1">
      <c r="A35" s="264">
        <v>0.5625</v>
      </c>
      <c r="B35" s="258" t="str">
        <f t="shared" si="0"/>
        <v/>
      </c>
      <c r="C35" s="259"/>
      <c r="D35" s="259"/>
      <c r="E35" s="260"/>
      <c r="F35" s="263" t="str">
        <f t="shared" si="1"/>
        <v/>
      </c>
      <c r="G35" s="264">
        <v>0.5625</v>
      </c>
      <c r="H35" s="258" t="str">
        <f t="shared" si="2"/>
        <v/>
      </c>
      <c r="I35" s="259"/>
      <c r="J35" s="259"/>
      <c r="K35" s="260"/>
      <c r="L35" s="263" t="str">
        <f t="shared" si="3"/>
        <v/>
      </c>
      <c r="M35" s="264">
        <v>0.5625</v>
      </c>
      <c r="N35" s="258" t="str">
        <f t="shared" si="4"/>
        <v/>
      </c>
      <c r="O35" s="259"/>
      <c r="P35" s="259"/>
      <c r="Q35" s="260"/>
      <c r="R35" s="263" t="str">
        <f t="shared" si="5"/>
        <v/>
      </c>
      <c r="S35" s="264">
        <v>0.5625</v>
      </c>
      <c r="T35" s="258" t="str">
        <f t="shared" si="6"/>
        <v/>
      </c>
      <c r="U35" s="259"/>
      <c r="V35" s="259"/>
      <c r="W35" s="260"/>
      <c r="X35" s="263" t="str">
        <f t="shared" si="7"/>
        <v/>
      </c>
      <c r="Y35" s="264">
        <v>0.5625</v>
      </c>
      <c r="Z35" s="258" t="str">
        <f t="shared" si="8"/>
        <v/>
      </c>
      <c r="AA35" s="259"/>
      <c r="AB35" s="259"/>
      <c r="AC35" s="260"/>
      <c r="AD35" s="263" t="str">
        <f t="shared" si="9"/>
        <v/>
      </c>
    </row>
    <row r="36" spans="1:30" ht="23.25" customHeight="1">
      <c r="A36" s="262">
        <v>0.57291666666666663</v>
      </c>
      <c r="B36" s="258" t="str">
        <f t="shared" si="0"/>
        <v/>
      </c>
      <c r="C36" s="259"/>
      <c r="D36" s="259"/>
      <c r="E36" s="260"/>
      <c r="F36" s="263" t="str">
        <f t="shared" si="1"/>
        <v/>
      </c>
      <c r="G36" s="262">
        <v>0.57291666666666663</v>
      </c>
      <c r="H36" s="258" t="str">
        <f t="shared" si="2"/>
        <v/>
      </c>
      <c r="I36" s="259"/>
      <c r="J36" s="259"/>
      <c r="K36" s="260"/>
      <c r="L36" s="263" t="str">
        <f t="shared" si="3"/>
        <v/>
      </c>
      <c r="M36" s="262">
        <v>0.57291666666666663</v>
      </c>
      <c r="N36" s="258" t="str">
        <f t="shared" si="4"/>
        <v/>
      </c>
      <c r="O36" s="259"/>
      <c r="P36" s="259"/>
      <c r="Q36" s="260"/>
      <c r="R36" s="263" t="str">
        <f t="shared" si="5"/>
        <v/>
      </c>
      <c r="S36" s="262">
        <v>0.57291666666666663</v>
      </c>
      <c r="T36" s="258" t="str">
        <f t="shared" si="6"/>
        <v/>
      </c>
      <c r="U36" s="259"/>
      <c r="V36" s="259"/>
      <c r="W36" s="260"/>
      <c r="X36" s="263" t="str">
        <f t="shared" si="7"/>
        <v/>
      </c>
      <c r="Y36" s="262">
        <v>0.57291666666666663</v>
      </c>
      <c r="Z36" s="258" t="str">
        <f t="shared" si="8"/>
        <v/>
      </c>
      <c r="AA36" s="259"/>
      <c r="AB36" s="259"/>
      <c r="AC36" s="260"/>
      <c r="AD36" s="263" t="str">
        <f t="shared" si="9"/>
        <v/>
      </c>
    </row>
    <row r="37" spans="1:30" ht="23.25" customHeight="1">
      <c r="A37" s="257">
        <v>0.58333333333333337</v>
      </c>
      <c r="B37" s="258" t="str">
        <f t="shared" ref="B37:B68" si="10">IFERROR(INDEX($E$81:$E$119,MATCH(A37,$F$81:$F$119,0),1),"")</f>
        <v/>
      </c>
      <c r="C37" s="259"/>
      <c r="D37" s="259"/>
      <c r="E37" s="260"/>
      <c r="F37" s="263" t="str">
        <f t="shared" ref="F37:F68" si="11">IFERROR(INDEX(E$120:E$123,MATCH($A37,F$120:F$123,0),1),"")</f>
        <v/>
      </c>
      <c r="G37" s="257">
        <v>0.58333333333333337</v>
      </c>
      <c r="H37" s="258" t="str">
        <f t="shared" ref="H37:H68" si="12">IFERROR(INDEX($K$81:$K$119,MATCH(G37,$L$81:$L$119,0),1),"")</f>
        <v/>
      </c>
      <c r="I37" s="259"/>
      <c r="J37" s="259"/>
      <c r="K37" s="260"/>
      <c r="L37" s="263" t="str">
        <f t="shared" ref="L37:L68" si="13">IFERROR(INDEX(K$120:K$123,MATCH($A37,L$120:L$123,0),1),"")</f>
        <v/>
      </c>
      <c r="M37" s="257">
        <v>0.58333333333333337</v>
      </c>
      <c r="N37" s="258" t="str">
        <f t="shared" ref="N37:N68" si="14">IFERROR(INDEX($Q$81:$Q$119,MATCH(M37,$R$81:$R$119,0),1),"")</f>
        <v/>
      </c>
      <c r="O37" s="259"/>
      <c r="P37" s="259"/>
      <c r="Q37" s="260"/>
      <c r="R37" s="263" t="str">
        <f t="shared" ref="R37:R68" si="15">IFERROR(INDEX(Q$120:Q$123,MATCH($A37,R$120:R$123,0),1),"")</f>
        <v/>
      </c>
      <c r="S37" s="257">
        <v>0.58333333333333337</v>
      </c>
      <c r="T37" s="258" t="str">
        <f t="shared" ref="T37:T68" si="16">IFERROR(INDEX($W$81:$W$119,MATCH(S37,$X$81:$X$119,0),1),"")</f>
        <v/>
      </c>
      <c r="U37" s="259"/>
      <c r="V37" s="259"/>
      <c r="W37" s="260"/>
      <c r="X37" s="263" t="str">
        <f t="shared" ref="X37:X68" si="17">IFERROR(INDEX(W$120:W$123,MATCH($A37,X$120:X$123,0),1),"")</f>
        <v/>
      </c>
      <c r="Y37" s="257">
        <v>0.58333333333333337</v>
      </c>
      <c r="Z37" s="258" t="str">
        <f t="shared" ref="Z37:Z68" si="18">IFERROR(INDEX($AC$81:$AC$119,MATCH(Y37,$AD$81:$AD$119,0),1),"")</f>
        <v/>
      </c>
      <c r="AA37" s="259"/>
      <c r="AB37" s="259"/>
      <c r="AC37" s="260"/>
      <c r="AD37" s="263" t="str">
        <f t="shared" ref="AD37:AD68" si="19">IFERROR(INDEX(AC$120:AC$123,MATCH($A37,AD$120:AD$123,0),1),"")</f>
        <v/>
      </c>
    </row>
    <row r="38" spans="1:30" ht="23.25" customHeight="1">
      <c r="A38" s="262">
        <v>0.59375</v>
      </c>
      <c r="B38" s="258" t="str">
        <f t="shared" si="10"/>
        <v/>
      </c>
      <c r="C38" s="259"/>
      <c r="D38" s="259"/>
      <c r="E38" s="260"/>
      <c r="F38" s="263" t="str">
        <f t="shared" si="11"/>
        <v/>
      </c>
      <c r="G38" s="262">
        <v>0.59375</v>
      </c>
      <c r="H38" s="258" t="str">
        <f t="shared" si="12"/>
        <v/>
      </c>
      <c r="I38" s="259"/>
      <c r="J38" s="259"/>
      <c r="K38" s="260"/>
      <c r="L38" s="263" t="str">
        <f t="shared" si="13"/>
        <v/>
      </c>
      <c r="M38" s="262">
        <v>0.59375</v>
      </c>
      <c r="N38" s="258" t="str">
        <f t="shared" si="14"/>
        <v/>
      </c>
      <c r="O38" s="259"/>
      <c r="P38" s="259"/>
      <c r="Q38" s="260"/>
      <c r="R38" s="263" t="str">
        <f t="shared" si="15"/>
        <v/>
      </c>
      <c r="S38" s="262">
        <v>0.59375</v>
      </c>
      <c r="T38" s="258" t="str">
        <f t="shared" si="16"/>
        <v/>
      </c>
      <c r="U38" s="259"/>
      <c r="V38" s="259"/>
      <c r="W38" s="260"/>
      <c r="X38" s="263" t="str">
        <f t="shared" si="17"/>
        <v/>
      </c>
      <c r="Y38" s="262">
        <v>0.59375</v>
      </c>
      <c r="Z38" s="258" t="str">
        <f t="shared" si="18"/>
        <v/>
      </c>
      <c r="AA38" s="259"/>
      <c r="AB38" s="259"/>
      <c r="AC38" s="260"/>
      <c r="AD38" s="263" t="str">
        <f t="shared" si="19"/>
        <v/>
      </c>
    </row>
    <row r="39" spans="1:30" ht="23.25" customHeight="1">
      <c r="A39" s="264">
        <v>0.60416666666666663</v>
      </c>
      <c r="B39" s="258" t="str">
        <f t="shared" si="10"/>
        <v/>
      </c>
      <c r="C39" s="259"/>
      <c r="D39" s="259"/>
      <c r="E39" s="260"/>
      <c r="F39" s="263" t="str">
        <f t="shared" si="11"/>
        <v/>
      </c>
      <c r="G39" s="264">
        <v>0.60416666666666663</v>
      </c>
      <c r="H39" s="258" t="str">
        <f t="shared" si="12"/>
        <v/>
      </c>
      <c r="I39" s="259"/>
      <c r="J39" s="259"/>
      <c r="K39" s="260"/>
      <c r="L39" s="263" t="str">
        <f t="shared" si="13"/>
        <v/>
      </c>
      <c r="M39" s="264">
        <v>0.60416666666666663</v>
      </c>
      <c r="N39" s="258" t="str">
        <f t="shared" si="14"/>
        <v/>
      </c>
      <c r="O39" s="259"/>
      <c r="P39" s="259"/>
      <c r="Q39" s="260"/>
      <c r="R39" s="263" t="str">
        <f t="shared" si="15"/>
        <v/>
      </c>
      <c r="S39" s="264">
        <v>0.60416666666666663</v>
      </c>
      <c r="T39" s="258" t="str">
        <f t="shared" si="16"/>
        <v/>
      </c>
      <c r="U39" s="259"/>
      <c r="V39" s="259"/>
      <c r="W39" s="260"/>
      <c r="X39" s="263" t="str">
        <f t="shared" si="17"/>
        <v/>
      </c>
      <c r="Y39" s="264">
        <v>0.60416666666666663</v>
      </c>
      <c r="Z39" s="258" t="str">
        <f t="shared" si="18"/>
        <v/>
      </c>
      <c r="AA39" s="259"/>
      <c r="AB39" s="259"/>
      <c r="AC39" s="260"/>
      <c r="AD39" s="263" t="str">
        <f t="shared" si="19"/>
        <v/>
      </c>
    </row>
    <row r="40" spans="1:30" ht="23.25" customHeight="1">
      <c r="A40" s="262">
        <v>0.61458333333333337</v>
      </c>
      <c r="B40" s="258" t="str">
        <f t="shared" si="10"/>
        <v/>
      </c>
      <c r="C40" s="259"/>
      <c r="D40" s="259"/>
      <c r="E40" s="260"/>
      <c r="F40" s="263" t="str">
        <f t="shared" si="11"/>
        <v/>
      </c>
      <c r="G40" s="262">
        <v>0.61458333333333337</v>
      </c>
      <c r="H40" s="258" t="str">
        <f t="shared" si="12"/>
        <v/>
      </c>
      <c r="I40" s="259"/>
      <c r="J40" s="259"/>
      <c r="K40" s="260"/>
      <c r="L40" s="263" t="str">
        <f t="shared" si="13"/>
        <v/>
      </c>
      <c r="M40" s="262">
        <v>0.61458333333333337</v>
      </c>
      <c r="N40" s="258" t="str">
        <f t="shared" si="14"/>
        <v/>
      </c>
      <c r="O40" s="259"/>
      <c r="P40" s="259"/>
      <c r="Q40" s="260"/>
      <c r="R40" s="263" t="str">
        <f t="shared" si="15"/>
        <v/>
      </c>
      <c r="S40" s="262">
        <v>0.61458333333333337</v>
      </c>
      <c r="T40" s="258" t="str">
        <f t="shared" si="16"/>
        <v/>
      </c>
      <c r="U40" s="259"/>
      <c r="V40" s="259"/>
      <c r="W40" s="260"/>
      <c r="X40" s="263" t="str">
        <f t="shared" si="17"/>
        <v/>
      </c>
      <c r="Y40" s="262">
        <v>0.61458333333333337</v>
      </c>
      <c r="Z40" s="258" t="str">
        <f t="shared" si="18"/>
        <v/>
      </c>
      <c r="AA40" s="259"/>
      <c r="AB40" s="259"/>
      <c r="AC40" s="260"/>
      <c r="AD40" s="263" t="str">
        <f t="shared" si="19"/>
        <v/>
      </c>
    </row>
    <row r="41" spans="1:30" ht="23.25" customHeight="1">
      <c r="A41" s="257">
        <v>0.625</v>
      </c>
      <c r="B41" s="258" t="str">
        <f t="shared" si="10"/>
        <v/>
      </c>
      <c r="C41" s="259"/>
      <c r="D41" s="259"/>
      <c r="E41" s="260"/>
      <c r="F41" s="263" t="str">
        <f t="shared" si="11"/>
        <v/>
      </c>
      <c r="G41" s="257">
        <v>0.625</v>
      </c>
      <c r="H41" s="258" t="str">
        <f t="shared" si="12"/>
        <v/>
      </c>
      <c r="I41" s="259"/>
      <c r="J41" s="259"/>
      <c r="K41" s="260"/>
      <c r="L41" s="263" t="str">
        <f t="shared" si="13"/>
        <v/>
      </c>
      <c r="M41" s="257">
        <v>0.625</v>
      </c>
      <c r="N41" s="258" t="str">
        <f t="shared" si="14"/>
        <v/>
      </c>
      <c r="O41" s="259"/>
      <c r="P41" s="259"/>
      <c r="Q41" s="260"/>
      <c r="R41" s="263" t="str">
        <f t="shared" si="15"/>
        <v/>
      </c>
      <c r="S41" s="257">
        <v>0.625</v>
      </c>
      <c r="T41" s="258" t="str">
        <f t="shared" si="16"/>
        <v/>
      </c>
      <c r="U41" s="259"/>
      <c r="V41" s="259"/>
      <c r="W41" s="260"/>
      <c r="X41" s="263" t="str">
        <f t="shared" si="17"/>
        <v/>
      </c>
      <c r="Y41" s="257">
        <v>0.625</v>
      </c>
      <c r="Z41" s="258" t="str">
        <f t="shared" si="18"/>
        <v/>
      </c>
      <c r="AA41" s="259"/>
      <c r="AB41" s="259"/>
      <c r="AC41" s="260"/>
      <c r="AD41" s="263" t="str">
        <f t="shared" si="19"/>
        <v/>
      </c>
    </row>
    <row r="42" spans="1:30" ht="23.25" customHeight="1">
      <c r="A42" s="262">
        <v>0.63541666666666663</v>
      </c>
      <c r="B42" s="258" t="str">
        <f t="shared" si="10"/>
        <v/>
      </c>
      <c r="C42" s="259"/>
      <c r="D42" s="259"/>
      <c r="E42" s="260"/>
      <c r="F42" s="263" t="str">
        <f t="shared" si="11"/>
        <v/>
      </c>
      <c r="G42" s="262">
        <v>0.63541666666666663</v>
      </c>
      <c r="H42" s="258" t="str">
        <f t="shared" si="12"/>
        <v/>
      </c>
      <c r="I42" s="259"/>
      <c r="J42" s="259"/>
      <c r="K42" s="260"/>
      <c r="L42" s="263" t="str">
        <f t="shared" si="13"/>
        <v/>
      </c>
      <c r="M42" s="262">
        <v>0.63541666666666663</v>
      </c>
      <c r="N42" s="258" t="str">
        <f t="shared" si="14"/>
        <v/>
      </c>
      <c r="O42" s="259"/>
      <c r="P42" s="259"/>
      <c r="Q42" s="260"/>
      <c r="R42" s="263" t="str">
        <f t="shared" si="15"/>
        <v/>
      </c>
      <c r="S42" s="262">
        <v>0.63541666666666663</v>
      </c>
      <c r="T42" s="258" t="str">
        <f t="shared" si="16"/>
        <v/>
      </c>
      <c r="U42" s="259"/>
      <c r="V42" s="259"/>
      <c r="W42" s="260"/>
      <c r="X42" s="263" t="str">
        <f t="shared" si="17"/>
        <v/>
      </c>
      <c r="Y42" s="262">
        <v>0.63541666666666663</v>
      </c>
      <c r="Z42" s="258" t="str">
        <f t="shared" si="18"/>
        <v/>
      </c>
      <c r="AA42" s="259"/>
      <c r="AB42" s="259"/>
      <c r="AC42" s="260"/>
      <c r="AD42" s="263" t="str">
        <f t="shared" si="19"/>
        <v/>
      </c>
    </row>
    <row r="43" spans="1:30" ht="23.25" customHeight="1">
      <c r="A43" s="264">
        <v>0.64583333333333337</v>
      </c>
      <c r="B43" s="258" t="str">
        <f t="shared" si="10"/>
        <v/>
      </c>
      <c r="C43" s="259"/>
      <c r="D43" s="259"/>
      <c r="E43" s="260"/>
      <c r="F43" s="263" t="str">
        <f t="shared" si="11"/>
        <v/>
      </c>
      <c r="G43" s="264">
        <v>0.64583333333333337</v>
      </c>
      <c r="H43" s="258" t="str">
        <f t="shared" si="12"/>
        <v/>
      </c>
      <c r="I43" s="259"/>
      <c r="J43" s="259"/>
      <c r="K43" s="260"/>
      <c r="L43" s="263" t="str">
        <f t="shared" si="13"/>
        <v/>
      </c>
      <c r="M43" s="264">
        <v>0.64583333333333337</v>
      </c>
      <c r="N43" s="258" t="str">
        <f t="shared" si="14"/>
        <v/>
      </c>
      <c r="O43" s="259"/>
      <c r="P43" s="259"/>
      <c r="Q43" s="260"/>
      <c r="R43" s="263" t="str">
        <f t="shared" si="15"/>
        <v/>
      </c>
      <c r="S43" s="264">
        <v>0.64583333333333337</v>
      </c>
      <c r="T43" s="258" t="str">
        <f t="shared" si="16"/>
        <v/>
      </c>
      <c r="U43" s="259"/>
      <c r="V43" s="259"/>
      <c r="W43" s="260"/>
      <c r="X43" s="263" t="str">
        <f t="shared" si="17"/>
        <v/>
      </c>
      <c r="Y43" s="264">
        <v>0.64583333333333337</v>
      </c>
      <c r="Z43" s="258" t="str">
        <f t="shared" si="18"/>
        <v/>
      </c>
      <c r="AA43" s="259"/>
      <c r="AB43" s="259"/>
      <c r="AC43" s="260"/>
      <c r="AD43" s="263" t="str">
        <f t="shared" si="19"/>
        <v/>
      </c>
    </row>
    <row r="44" spans="1:30" ht="23.25" customHeight="1">
      <c r="A44" s="262">
        <v>0.65625</v>
      </c>
      <c r="B44" s="258" t="str">
        <f t="shared" si="10"/>
        <v/>
      </c>
      <c r="C44" s="259"/>
      <c r="D44" s="259"/>
      <c r="E44" s="260"/>
      <c r="F44" s="263" t="str">
        <f t="shared" si="11"/>
        <v/>
      </c>
      <c r="G44" s="262">
        <v>0.65625</v>
      </c>
      <c r="H44" s="258" t="str">
        <f t="shared" si="12"/>
        <v/>
      </c>
      <c r="I44" s="259"/>
      <c r="J44" s="259"/>
      <c r="K44" s="260"/>
      <c r="L44" s="263" t="str">
        <f t="shared" si="13"/>
        <v/>
      </c>
      <c r="M44" s="262">
        <v>0.65625</v>
      </c>
      <c r="N44" s="258" t="str">
        <f t="shared" si="14"/>
        <v/>
      </c>
      <c r="O44" s="259"/>
      <c r="P44" s="259"/>
      <c r="Q44" s="260"/>
      <c r="R44" s="263" t="str">
        <f t="shared" si="15"/>
        <v/>
      </c>
      <c r="S44" s="262">
        <v>0.65625</v>
      </c>
      <c r="T44" s="258" t="str">
        <f t="shared" si="16"/>
        <v/>
      </c>
      <c r="U44" s="259"/>
      <c r="V44" s="259"/>
      <c r="W44" s="260"/>
      <c r="X44" s="263" t="str">
        <f t="shared" si="17"/>
        <v/>
      </c>
      <c r="Y44" s="262">
        <v>0.65625</v>
      </c>
      <c r="Z44" s="258" t="str">
        <f t="shared" si="18"/>
        <v/>
      </c>
      <c r="AA44" s="259"/>
      <c r="AB44" s="259"/>
      <c r="AC44" s="260"/>
      <c r="AD44" s="263" t="str">
        <f t="shared" si="19"/>
        <v/>
      </c>
    </row>
    <row r="45" spans="1:30" ht="23.25" customHeight="1">
      <c r="A45" s="257">
        <v>0.66666666666666663</v>
      </c>
      <c r="B45" s="258" t="str">
        <f t="shared" si="10"/>
        <v/>
      </c>
      <c r="C45" s="259"/>
      <c r="D45" s="259"/>
      <c r="E45" s="260"/>
      <c r="F45" s="263" t="str">
        <f t="shared" si="11"/>
        <v/>
      </c>
      <c r="G45" s="257">
        <v>0.66666666666666663</v>
      </c>
      <c r="H45" s="258" t="str">
        <f t="shared" si="12"/>
        <v/>
      </c>
      <c r="I45" s="259"/>
      <c r="J45" s="259"/>
      <c r="K45" s="260"/>
      <c r="L45" s="263" t="str">
        <f t="shared" si="13"/>
        <v/>
      </c>
      <c r="M45" s="257">
        <v>0.66666666666666663</v>
      </c>
      <c r="N45" s="258" t="str">
        <f t="shared" si="14"/>
        <v/>
      </c>
      <c r="O45" s="259"/>
      <c r="P45" s="259"/>
      <c r="Q45" s="260"/>
      <c r="R45" s="263" t="str">
        <f t="shared" si="15"/>
        <v/>
      </c>
      <c r="S45" s="257">
        <v>0.66666666666666663</v>
      </c>
      <c r="T45" s="258" t="str">
        <f t="shared" si="16"/>
        <v/>
      </c>
      <c r="U45" s="259"/>
      <c r="V45" s="259"/>
      <c r="W45" s="260"/>
      <c r="X45" s="263" t="str">
        <f t="shared" si="17"/>
        <v/>
      </c>
      <c r="Y45" s="257">
        <v>0.66666666666666663</v>
      </c>
      <c r="Z45" s="258" t="str">
        <f t="shared" si="18"/>
        <v/>
      </c>
      <c r="AA45" s="259"/>
      <c r="AB45" s="259"/>
      <c r="AC45" s="260"/>
      <c r="AD45" s="263" t="str">
        <f t="shared" si="19"/>
        <v/>
      </c>
    </row>
    <row r="46" spans="1:30" ht="23.25" customHeight="1">
      <c r="A46" s="262">
        <v>0.67708333333333337</v>
      </c>
      <c r="B46" s="258" t="str">
        <f t="shared" si="10"/>
        <v/>
      </c>
      <c r="C46" s="259"/>
      <c r="D46" s="259"/>
      <c r="E46" s="260"/>
      <c r="F46" s="263" t="str">
        <f t="shared" si="11"/>
        <v/>
      </c>
      <c r="G46" s="262">
        <v>0.67708333333333337</v>
      </c>
      <c r="H46" s="258" t="str">
        <f t="shared" si="12"/>
        <v/>
      </c>
      <c r="I46" s="259"/>
      <c r="J46" s="259"/>
      <c r="K46" s="260"/>
      <c r="L46" s="263" t="str">
        <f t="shared" si="13"/>
        <v/>
      </c>
      <c r="M46" s="262">
        <v>0.67708333333333337</v>
      </c>
      <c r="N46" s="258" t="str">
        <f t="shared" si="14"/>
        <v/>
      </c>
      <c r="O46" s="259"/>
      <c r="P46" s="259"/>
      <c r="Q46" s="260"/>
      <c r="R46" s="263" t="str">
        <f t="shared" si="15"/>
        <v/>
      </c>
      <c r="S46" s="262">
        <v>0.67708333333333337</v>
      </c>
      <c r="T46" s="258" t="str">
        <f t="shared" si="16"/>
        <v/>
      </c>
      <c r="U46" s="259"/>
      <c r="V46" s="259"/>
      <c r="W46" s="260"/>
      <c r="X46" s="263" t="str">
        <f t="shared" si="17"/>
        <v/>
      </c>
      <c r="Y46" s="262">
        <v>0.67708333333333337</v>
      </c>
      <c r="Z46" s="258" t="str">
        <f t="shared" si="18"/>
        <v/>
      </c>
      <c r="AA46" s="259"/>
      <c r="AB46" s="259"/>
      <c r="AC46" s="260"/>
      <c r="AD46" s="263" t="str">
        <f t="shared" si="19"/>
        <v/>
      </c>
    </row>
    <row r="47" spans="1:30" ht="23.25" customHeight="1">
      <c r="A47" s="264">
        <v>0.6875</v>
      </c>
      <c r="B47" s="258" t="str">
        <f t="shared" si="10"/>
        <v/>
      </c>
      <c r="C47" s="259"/>
      <c r="D47" s="259"/>
      <c r="E47" s="260"/>
      <c r="F47" s="263" t="str">
        <f t="shared" si="11"/>
        <v/>
      </c>
      <c r="G47" s="264">
        <v>0.6875</v>
      </c>
      <c r="H47" s="258" t="str">
        <f t="shared" si="12"/>
        <v/>
      </c>
      <c r="I47" s="259"/>
      <c r="J47" s="259"/>
      <c r="K47" s="260"/>
      <c r="L47" s="263" t="str">
        <f t="shared" si="13"/>
        <v/>
      </c>
      <c r="M47" s="264">
        <v>0.6875</v>
      </c>
      <c r="N47" s="258" t="str">
        <f t="shared" si="14"/>
        <v/>
      </c>
      <c r="O47" s="259"/>
      <c r="P47" s="259"/>
      <c r="Q47" s="260"/>
      <c r="R47" s="263" t="str">
        <f t="shared" si="15"/>
        <v/>
      </c>
      <c r="S47" s="264">
        <v>0.6875</v>
      </c>
      <c r="T47" s="258" t="str">
        <f t="shared" si="16"/>
        <v/>
      </c>
      <c r="U47" s="259"/>
      <c r="V47" s="259"/>
      <c r="W47" s="260"/>
      <c r="X47" s="263" t="str">
        <f t="shared" si="17"/>
        <v/>
      </c>
      <c r="Y47" s="264">
        <v>0.6875</v>
      </c>
      <c r="Z47" s="258" t="str">
        <f t="shared" si="18"/>
        <v/>
      </c>
      <c r="AA47" s="259"/>
      <c r="AB47" s="259"/>
      <c r="AC47" s="260"/>
      <c r="AD47" s="263" t="str">
        <f t="shared" si="19"/>
        <v/>
      </c>
    </row>
    <row r="48" spans="1:30" ht="23.25" customHeight="1">
      <c r="A48" s="262">
        <v>0.69791666666666663</v>
      </c>
      <c r="B48" s="258" t="str">
        <f t="shared" si="10"/>
        <v/>
      </c>
      <c r="C48" s="259"/>
      <c r="D48" s="259"/>
      <c r="E48" s="260"/>
      <c r="F48" s="263" t="str">
        <f t="shared" si="11"/>
        <v/>
      </c>
      <c r="G48" s="262">
        <v>0.69791666666666663</v>
      </c>
      <c r="H48" s="258" t="str">
        <f t="shared" si="12"/>
        <v/>
      </c>
      <c r="I48" s="259"/>
      <c r="J48" s="259"/>
      <c r="K48" s="260"/>
      <c r="L48" s="263" t="str">
        <f t="shared" si="13"/>
        <v/>
      </c>
      <c r="M48" s="262">
        <v>0.69791666666666663</v>
      </c>
      <c r="N48" s="258" t="str">
        <f t="shared" si="14"/>
        <v/>
      </c>
      <c r="O48" s="259"/>
      <c r="P48" s="259"/>
      <c r="Q48" s="260"/>
      <c r="R48" s="263" t="str">
        <f t="shared" si="15"/>
        <v/>
      </c>
      <c r="S48" s="262">
        <v>0.69791666666666663</v>
      </c>
      <c r="T48" s="258" t="str">
        <f t="shared" si="16"/>
        <v/>
      </c>
      <c r="U48" s="259"/>
      <c r="V48" s="259"/>
      <c r="W48" s="260"/>
      <c r="X48" s="263" t="str">
        <f t="shared" si="17"/>
        <v/>
      </c>
      <c r="Y48" s="262">
        <v>0.69791666666666663</v>
      </c>
      <c r="Z48" s="258" t="str">
        <f t="shared" si="18"/>
        <v/>
      </c>
      <c r="AA48" s="259"/>
      <c r="AB48" s="259"/>
      <c r="AC48" s="260"/>
      <c r="AD48" s="263" t="str">
        <f t="shared" si="19"/>
        <v/>
      </c>
    </row>
    <row r="49" spans="1:30" ht="23.25" customHeight="1">
      <c r="A49" s="257">
        <v>0.70833333333333337</v>
      </c>
      <c r="B49" s="258" t="str">
        <f t="shared" si="10"/>
        <v/>
      </c>
      <c r="C49" s="259"/>
      <c r="D49" s="259"/>
      <c r="E49" s="260"/>
      <c r="F49" s="263" t="str">
        <f t="shared" si="11"/>
        <v/>
      </c>
      <c r="G49" s="257">
        <v>0.70833333333333337</v>
      </c>
      <c r="H49" s="258" t="str">
        <f t="shared" si="12"/>
        <v/>
      </c>
      <c r="I49" s="259"/>
      <c r="J49" s="259"/>
      <c r="K49" s="260"/>
      <c r="L49" s="263" t="str">
        <f t="shared" si="13"/>
        <v/>
      </c>
      <c r="M49" s="257">
        <v>0.70833333333333337</v>
      </c>
      <c r="N49" s="258" t="str">
        <f t="shared" si="14"/>
        <v/>
      </c>
      <c r="O49" s="259"/>
      <c r="P49" s="259"/>
      <c r="Q49" s="260"/>
      <c r="R49" s="263" t="str">
        <f t="shared" si="15"/>
        <v/>
      </c>
      <c r="S49" s="257">
        <v>0.70833333333333337</v>
      </c>
      <c r="T49" s="258" t="str">
        <f t="shared" si="16"/>
        <v/>
      </c>
      <c r="U49" s="259"/>
      <c r="V49" s="259"/>
      <c r="W49" s="260"/>
      <c r="X49" s="263" t="str">
        <f t="shared" si="17"/>
        <v/>
      </c>
      <c r="Y49" s="257">
        <v>0.70833333333333337</v>
      </c>
      <c r="Z49" s="258" t="str">
        <f t="shared" si="18"/>
        <v/>
      </c>
      <c r="AA49" s="259"/>
      <c r="AB49" s="259"/>
      <c r="AC49" s="260"/>
      <c r="AD49" s="263" t="str">
        <f t="shared" si="19"/>
        <v/>
      </c>
    </row>
    <row r="50" spans="1:30" ht="23.25" customHeight="1">
      <c r="A50" s="262">
        <v>0.71875</v>
      </c>
      <c r="B50" s="258" t="str">
        <f t="shared" si="10"/>
        <v/>
      </c>
      <c r="C50" s="259"/>
      <c r="D50" s="259"/>
      <c r="E50" s="260"/>
      <c r="F50" s="263" t="str">
        <f t="shared" si="11"/>
        <v/>
      </c>
      <c r="G50" s="262">
        <v>0.71875</v>
      </c>
      <c r="H50" s="258" t="str">
        <f t="shared" si="12"/>
        <v/>
      </c>
      <c r="I50" s="259"/>
      <c r="J50" s="259"/>
      <c r="K50" s="260"/>
      <c r="L50" s="263" t="str">
        <f t="shared" si="13"/>
        <v/>
      </c>
      <c r="M50" s="262">
        <v>0.71875</v>
      </c>
      <c r="N50" s="258" t="str">
        <f t="shared" si="14"/>
        <v/>
      </c>
      <c r="O50" s="259"/>
      <c r="P50" s="259"/>
      <c r="Q50" s="260"/>
      <c r="R50" s="263" t="str">
        <f t="shared" si="15"/>
        <v/>
      </c>
      <c r="S50" s="262">
        <v>0.71875</v>
      </c>
      <c r="T50" s="258" t="str">
        <f t="shared" si="16"/>
        <v/>
      </c>
      <c r="U50" s="259"/>
      <c r="V50" s="259"/>
      <c r="W50" s="260"/>
      <c r="X50" s="263" t="str">
        <f t="shared" si="17"/>
        <v/>
      </c>
      <c r="Y50" s="262">
        <v>0.71875</v>
      </c>
      <c r="Z50" s="258" t="str">
        <f t="shared" si="18"/>
        <v/>
      </c>
      <c r="AA50" s="259"/>
      <c r="AB50" s="259"/>
      <c r="AC50" s="260"/>
      <c r="AD50" s="263" t="str">
        <f t="shared" si="19"/>
        <v/>
      </c>
    </row>
    <row r="51" spans="1:30" ht="23.25" customHeight="1">
      <c r="A51" s="264">
        <v>0.72916666666666663</v>
      </c>
      <c r="B51" s="258" t="str">
        <f t="shared" si="10"/>
        <v/>
      </c>
      <c r="C51" s="259"/>
      <c r="D51" s="259"/>
      <c r="E51" s="260"/>
      <c r="F51" s="263" t="str">
        <f t="shared" si="11"/>
        <v/>
      </c>
      <c r="G51" s="264">
        <v>0.72916666666666663</v>
      </c>
      <c r="H51" s="258" t="str">
        <f t="shared" si="12"/>
        <v/>
      </c>
      <c r="I51" s="259"/>
      <c r="J51" s="259"/>
      <c r="K51" s="260"/>
      <c r="L51" s="263" t="str">
        <f t="shared" si="13"/>
        <v/>
      </c>
      <c r="M51" s="264">
        <v>0.72916666666666663</v>
      </c>
      <c r="N51" s="258" t="str">
        <f t="shared" si="14"/>
        <v/>
      </c>
      <c r="O51" s="259"/>
      <c r="P51" s="259"/>
      <c r="Q51" s="260"/>
      <c r="R51" s="263" t="str">
        <f t="shared" si="15"/>
        <v/>
      </c>
      <c r="S51" s="264">
        <v>0.72916666666666663</v>
      </c>
      <c r="T51" s="258" t="str">
        <f t="shared" si="16"/>
        <v/>
      </c>
      <c r="U51" s="259"/>
      <c r="V51" s="259"/>
      <c r="W51" s="260"/>
      <c r="X51" s="263" t="str">
        <f t="shared" si="17"/>
        <v/>
      </c>
      <c r="Y51" s="264">
        <v>0.72916666666666663</v>
      </c>
      <c r="Z51" s="258" t="str">
        <f t="shared" si="18"/>
        <v/>
      </c>
      <c r="AA51" s="259"/>
      <c r="AB51" s="259"/>
      <c r="AC51" s="260"/>
      <c r="AD51" s="263" t="str">
        <f t="shared" si="19"/>
        <v/>
      </c>
    </row>
    <row r="52" spans="1:30" ht="23.25" customHeight="1">
      <c r="A52" s="262">
        <v>0.73958333333333337</v>
      </c>
      <c r="B52" s="258" t="str">
        <f t="shared" si="10"/>
        <v/>
      </c>
      <c r="C52" s="259"/>
      <c r="D52" s="259"/>
      <c r="E52" s="260"/>
      <c r="F52" s="263" t="str">
        <f t="shared" si="11"/>
        <v/>
      </c>
      <c r="G52" s="262">
        <v>0.73958333333333337</v>
      </c>
      <c r="H52" s="258" t="str">
        <f t="shared" si="12"/>
        <v/>
      </c>
      <c r="I52" s="259"/>
      <c r="J52" s="259"/>
      <c r="K52" s="260"/>
      <c r="L52" s="263" t="str">
        <f t="shared" si="13"/>
        <v/>
      </c>
      <c r="M52" s="262">
        <v>0.73958333333333337</v>
      </c>
      <c r="N52" s="258" t="str">
        <f t="shared" si="14"/>
        <v/>
      </c>
      <c r="O52" s="259"/>
      <c r="P52" s="259"/>
      <c r="Q52" s="260"/>
      <c r="R52" s="263" t="str">
        <f t="shared" si="15"/>
        <v/>
      </c>
      <c r="S52" s="262">
        <v>0.73958333333333337</v>
      </c>
      <c r="T52" s="258" t="str">
        <f t="shared" si="16"/>
        <v/>
      </c>
      <c r="U52" s="259"/>
      <c r="V52" s="259"/>
      <c r="W52" s="260"/>
      <c r="X52" s="263" t="str">
        <f t="shared" si="17"/>
        <v/>
      </c>
      <c r="Y52" s="262">
        <v>0.73958333333333337</v>
      </c>
      <c r="Z52" s="258" t="str">
        <f t="shared" si="18"/>
        <v/>
      </c>
      <c r="AA52" s="259"/>
      <c r="AB52" s="259"/>
      <c r="AC52" s="260"/>
      <c r="AD52" s="263" t="str">
        <f t="shared" si="19"/>
        <v/>
      </c>
    </row>
    <row r="53" spans="1:30" ht="23.25" customHeight="1">
      <c r="A53" s="257">
        <v>0.75</v>
      </c>
      <c r="B53" s="258" t="str">
        <f t="shared" si="10"/>
        <v/>
      </c>
      <c r="C53" s="259"/>
      <c r="D53" s="259"/>
      <c r="E53" s="260"/>
      <c r="F53" s="263" t="str">
        <f t="shared" si="11"/>
        <v/>
      </c>
      <c r="G53" s="257">
        <v>0.75</v>
      </c>
      <c r="H53" s="258" t="str">
        <f t="shared" si="12"/>
        <v/>
      </c>
      <c r="I53" s="259"/>
      <c r="J53" s="259"/>
      <c r="K53" s="260"/>
      <c r="L53" s="263" t="str">
        <f t="shared" si="13"/>
        <v/>
      </c>
      <c r="M53" s="257">
        <v>0.75</v>
      </c>
      <c r="N53" s="258" t="str">
        <f t="shared" si="14"/>
        <v/>
      </c>
      <c r="O53" s="259"/>
      <c r="P53" s="259"/>
      <c r="Q53" s="260"/>
      <c r="R53" s="263" t="str">
        <f t="shared" si="15"/>
        <v/>
      </c>
      <c r="S53" s="257">
        <v>0.75</v>
      </c>
      <c r="T53" s="258" t="str">
        <f t="shared" si="16"/>
        <v/>
      </c>
      <c r="U53" s="259"/>
      <c r="V53" s="259"/>
      <c r="W53" s="260"/>
      <c r="X53" s="263" t="str">
        <f t="shared" si="17"/>
        <v/>
      </c>
      <c r="Y53" s="257">
        <v>0.75</v>
      </c>
      <c r="Z53" s="258" t="str">
        <f t="shared" si="18"/>
        <v/>
      </c>
      <c r="AA53" s="259"/>
      <c r="AB53" s="259"/>
      <c r="AC53" s="260"/>
      <c r="AD53" s="263" t="str">
        <f t="shared" si="19"/>
        <v/>
      </c>
    </row>
    <row r="54" spans="1:30" ht="23.25" customHeight="1">
      <c r="A54" s="262">
        <v>0.76041666666666663</v>
      </c>
      <c r="B54" s="258" t="str">
        <f t="shared" si="10"/>
        <v/>
      </c>
      <c r="C54" s="259"/>
      <c r="D54" s="259"/>
      <c r="E54" s="260"/>
      <c r="F54" s="263" t="str">
        <f t="shared" si="11"/>
        <v/>
      </c>
      <c r="G54" s="262">
        <v>0.76041666666666663</v>
      </c>
      <c r="H54" s="258" t="str">
        <f t="shared" si="12"/>
        <v/>
      </c>
      <c r="I54" s="259"/>
      <c r="J54" s="259"/>
      <c r="K54" s="260"/>
      <c r="L54" s="263" t="str">
        <f t="shared" si="13"/>
        <v/>
      </c>
      <c r="M54" s="262">
        <v>0.76041666666666663</v>
      </c>
      <c r="N54" s="258" t="str">
        <f t="shared" si="14"/>
        <v/>
      </c>
      <c r="O54" s="259"/>
      <c r="P54" s="259"/>
      <c r="Q54" s="260"/>
      <c r="R54" s="263" t="str">
        <f t="shared" si="15"/>
        <v/>
      </c>
      <c r="S54" s="262">
        <v>0.76041666666666663</v>
      </c>
      <c r="T54" s="258" t="str">
        <f t="shared" si="16"/>
        <v/>
      </c>
      <c r="U54" s="259"/>
      <c r="V54" s="259"/>
      <c r="W54" s="260"/>
      <c r="X54" s="263" t="str">
        <f t="shared" si="17"/>
        <v/>
      </c>
      <c r="Y54" s="262">
        <v>0.76041666666666663</v>
      </c>
      <c r="Z54" s="258" t="str">
        <f t="shared" si="18"/>
        <v/>
      </c>
      <c r="AA54" s="259"/>
      <c r="AB54" s="259"/>
      <c r="AC54" s="260"/>
      <c r="AD54" s="263" t="str">
        <f t="shared" si="19"/>
        <v/>
      </c>
    </row>
    <row r="55" spans="1:30" ht="23.25" customHeight="1">
      <c r="A55" s="264">
        <v>0.77083333333333337</v>
      </c>
      <c r="B55" s="258" t="str">
        <f t="shared" si="10"/>
        <v/>
      </c>
      <c r="C55" s="259"/>
      <c r="D55" s="259"/>
      <c r="E55" s="260"/>
      <c r="F55" s="263" t="str">
        <f t="shared" si="11"/>
        <v/>
      </c>
      <c r="G55" s="264">
        <v>0.77083333333333337</v>
      </c>
      <c r="H55" s="258" t="str">
        <f t="shared" si="12"/>
        <v/>
      </c>
      <c r="I55" s="259"/>
      <c r="J55" s="259"/>
      <c r="K55" s="260"/>
      <c r="L55" s="263" t="str">
        <f t="shared" si="13"/>
        <v/>
      </c>
      <c r="M55" s="264">
        <v>0.77083333333333337</v>
      </c>
      <c r="N55" s="258" t="str">
        <f t="shared" si="14"/>
        <v/>
      </c>
      <c r="O55" s="259"/>
      <c r="P55" s="259"/>
      <c r="Q55" s="260"/>
      <c r="R55" s="263" t="str">
        <f t="shared" si="15"/>
        <v/>
      </c>
      <c r="S55" s="264">
        <v>0.77083333333333337</v>
      </c>
      <c r="T55" s="258" t="str">
        <f t="shared" si="16"/>
        <v/>
      </c>
      <c r="U55" s="259"/>
      <c r="V55" s="259"/>
      <c r="W55" s="260"/>
      <c r="X55" s="263" t="str">
        <f t="shared" si="17"/>
        <v/>
      </c>
      <c r="Y55" s="264">
        <v>0.77083333333333337</v>
      </c>
      <c r="Z55" s="258" t="str">
        <f t="shared" si="18"/>
        <v/>
      </c>
      <c r="AA55" s="259"/>
      <c r="AB55" s="259"/>
      <c r="AC55" s="260"/>
      <c r="AD55" s="263" t="str">
        <f t="shared" si="19"/>
        <v/>
      </c>
    </row>
    <row r="56" spans="1:30" ht="23.25" customHeight="1">
      <c r="A56" s="262">
        <v>0.78125</v>
      </c>
      <c r="B56" s="258" t="str">
        <f t="shared" si="10"/>
        <v/>
      </c>
      <c r="C56" s="259"/>
      <c r="D56" s="259"/>
      <c r="E56" s="260"/>
      <c r="F56" s="263" t="str">
        <f t="shared" si="11"/>
        <v/>
      </c>
      <c r="G56" s="262">
        <v>0.78125</v>
      </c>
      <c r="H56" s="258" t="str">
        <f t="shared" si="12"/>
        <v/>
      </c>
      <c r="I56" s="259"/>
      <c r="J56" s="259"/>
      <c r="K56" s="260"/>
      <c r="L56" s="263" t="str">
        <f t="shared" si="13"/>
        <v/>
      </c>
      <c r="M56" s="262">
        <v>0.78125</v>
      </c>
      <c r="N56" s="258" t="str">
        <f t="shared" si="14"/>
        <v/>
      </c>
      <c r="O56" s="259"/>
      <c r="P56" s="259"/>
      <c r="Q56" s="260"/>
      <c r="R56" s="263" t="str">
        <f t="shared" si="15"/>
        <v/>
      </c>
      <c r="S56" s="262">
        <v>0.78125</v>
      </c>
      <c r="T56" s="258" t="str">
        <f t="shared" si="16"/>
        <v/>
      </c>
      <c r="U56" s="259"/>
      <c r="V56" s="259"/>
      <c r="W56" s="260"/>
      <c r="X56" s="263" t="str">
        <f t="shared" si="17"/>
        <v/>
      </c>
      <c r="Y56" s="262">
        <v>0.78125</v>
      </c>
      <c r="Z56" s="258" t="str">
        <f t="shared" si="18"/>
        <v/>
      </c>
      <c r="AA56" s="259"/>
      <c r="AB56" s="259"/>
      <c r="AC56" s="260"/>
      <c r="AD56" s="263" t="str">
        <f t="shared" si="19"/>
        <v/>
      </c>
    </row>
    <row r="57" spans="1:30" ht="23.25" customHeight="1">
      <c r="A57" s="257">
        <v>0.79166666666666663</v>
      </c>
      <c r="B57" s="258" t="str">
        <f t="shared" si="10"/>
        <v/>
      </c>
      <c r="C57" s="259"/>
      <c r="D57" s="259"/>
      <c r="E57" s="260"/>
      <c r="F57" s="263" t="str">
        <f t="shared" si="11"/>
        <v/>
      </c>
      <c r="G57" s="257">
        <v>0.79166666666666663</v>
      </c>
      <c r="H57" s="258" t="str">
        <f t="shared" si="12"/>
        <v/>
      </c>
      <c r="I57" s="259"/>
      <c r="J57" s="259"/>
      <c r="K57" s="260"/>
      <c r="L57" s="263" t="str">
        <f t="shared" si="13"/>
        <v/>
      </c>
      <c r="M57" s="257">
        <v>0.79166666666666663</v>
      </c>
      <c r="N57" s="258" t="str">
        <f t="shared" si="14"/>
        <v/>
      </c>
      <c r="O57" s="259"/>
      <c r="P57" s="259"/>
      <c r="Q57" s="260"/>
      <c r="R57" s="263" t="str">
        <f t="shared" si="15"/>
        <v/>
      </c>
      <c r="S57" s="257">
        <v>0.79166666666666663</v>
      </c>
      <c r="T57" s="258" t="str">
        <f t="shared" si="16"/>
        <v/>
      </c>
      <c r="U57" s="259"/>
      <c r="V57" s="259"/>
      <c r="W57" s="260"/>
      <c r="X57" s="263" t="str">
        <f t="shared" si="17"/>
        <v/>
      </c>
      <c r="Y57" s="257">
        <v>0.79166666666666663</v>
      </c>
      <c r="Z57" s="258" t="str">
        <f t="shared" si="18"/>
        <v/>
      </c>
      <c r="AA57" s="259"/>
      <c r="AB57" s="259"/>
      <c r="AC57" s="260"/>
      <c r="AD57" s="263" t="str">
        <f t="shared" si="19"/>
        <v/>
      </c>
    </row>
    <row r="58" spans="1:30" ht="23.25" customHeight="1">
      <c r="A58" s="262">
        <v>0.80208333333333337</v>
      </c>
      <c r="B58" s="258" t="str">
        <f t="shared" si="10"/>
        <v/>
      </c>
      <c r="C58" s="259"/>
      <c r="D58" s="259"/>
      <c r="E58" s="260"/>
      <c r="F58" s="263" t="str">
        <f t="shared" si="11"/>
        <v/>
      </c>
      <c r="G58" s="262">
        <v>0.80208333333333337</v>
      </c>
      <c r="H58" s="258" t="str">
        <f t="shared" si="12"/>
        <v/>
      </c>
      <c r="I58" s="259"/>
      <c r="J58" s="259"/>
      <c r="K58" s="260"/>
      <c r="L58" s="263" t="str">
        <f t="shared" si="13"/>
        <v/>
      </c>
      <c r="M58" s="262">
        <v>0.80208333333333337</v>
      </c>
      <c r="N58" s="258" t="str">
        <f t="shared" si="14"/>
        <v/>
      </c>
      <c r="O58" s="259"/>
      <c r="P58" s="259"/>
      <c r="Q58" s="260"/>
      <c r="R58" s="263" t="str">
        <f t="shared" si="15"/>
        <v/>
      </c>
      <c r="S58" s="262">
        <v>0.80208333333333337</v>
      </c>
      <c r="T58" s="258" t="str">
        <f t="shared" si="16"/>
        <v/>
      </c>
      <c r="U58" s="259"/>
      <c r="V58" s="259"/>
      <c r="W58" s="260"/>
      <c r="X58" s="263" t="str">
        <f t="shared" si="17"/>
        <v/>
      </c>
      <c r="Y58" s="262">
        <v>0.80208333333333337</v>
      </c>
      <c r="Z58" s="258" t="str">
        <f t="shared" si="18"/>
        <v/>
      </c>
      <c r="AA58" s="259"/>
      <c r="AB58" s="259"/>
      <c r="AC58" s="260"/>
      <c r="AD58" s="263" t="str">
        <f t="shared" si="19"/>
        <v/>
      </c>
    </row>
    <row r="59" spans="1:30" ht="23.25" customHeight="1">
      <c r="A59" s="264">
        <v>0.8125</v>
      </c>
      <c r="B59" s="258" t="str">
        <f t="shared" si="10"/>
        <v/>
      </c>
      <c r="C59" s="259"/>
      <c r="D59" s="259"/>
      <c r="E59" s="260"/>
      <c r="F59" s="263" t="str">
        <f t="shared" si="11"/>
        <v/>
      </c>
      <c r="G59" s="264">
        <v>0.8125</v>
      </c>
      <c r="H59" s="258" t="str">
        <f t="shared" si="12"/>
        <v/>
      </c>
      <c r="I59" s="259"/>
      <c r="J59" s="259"/>
      <c r="K59" s="260"/>
      <c r="L59" s="263" t="str">
        <f t="shared" si="13"/>
        <v/>
      </c>
      <c r="M59" s="264">
        <v>0.8125</v>
      </c>
      <c r="N59" s="258" t="str">
        <f t="shared" si="14"/>
        <v/>
      </c>
      <c r="O59" s="259"/>
      <c r="P59" s="259"/>
      <c r="Q59" s="260"/>
      <c r="R59" s="263" t="str">
        <f t="shared" si="15"/>
        <v/>
      </c>
      <c r="S59" s="264">
        <v>0.8125</v>
      </c>
      <c r="T59" s="258" t="str">
        <f t="shared" si="16"/>
        <v/>
      </c>
      <c r="U59" s="259"/>
      <c r="V59" s="259"/>
      <c r="W59" s="260"/>
      <c r="X59" s="263" t="str">
        <f t="shared" si="17"/>
        <v/>
      </c>
      <c r="Y59" s="264">
        <v>0.8125</v>
      </c>
      <c r="Z59" s="258" t="str">
        <f t="shared" si="18"/>
        <v/>
      </c>
      <c r="AA59" s="259"/>
      <c r="AB59" s="259"/>
      <c r="AC59" s="260"/>
      <c r="AD59" s="263" t="str">
        <f t="shared" si="19"/>
        <v/>
      </c>
    </row>
    <row r="60" spans="1:30" ht="23.25" customHeight="1">
      <c r="A60" s="262">
        <v>0.82291666666666663</v>
      </c>
      <c r="B60" s="258" t="str">
        <f t="shared" si="10"/>
        <v/>
      </c>
      <c r="C60" s="259"/>
      <c r="D60" s="259"/>
      <c r="E60" s="260"/>
      <c r="F60" s="263" t="str">
        <f t="shared" si="11"/>
        <v/>
      </c>
      <c r="G60" s="262">
        <v>0.82291666666666663</v>
      </c>
      <c r="H60" s="258" t="str">
        <f t="shared" si="12"/>
        <v/>
      </c>
      <c r="I60" s="259"/>
      <c r="J60" s="259"/>
      <c r="K60" s="260"/>
      <c r="L60" s="263" t="str">
        <f t="shared" si="13"/>
        <v/>
      </c>
      <c r="M60" s="262">
        <v>0.82291666666666663</v>
      </c>
      <c r="N60" s="258" t="str">
        <f t="shared" si="14"/>
        <v/>
      </c>
      <c r="O60" s="259"/>
      <c r="P60" s="259"/>
      <c r="Q60" s="260"/>
      <c r="R60" s="263" t="str">
        <f t="shared" si="15"/>
        <v/>
      </c>
      <c r="S60" s="262">
        <v>0.82291666666666663</v>
      </c>
      <c r="T60" s="258" t="str">
        <f t="shared" si="16"/>
        <v/>
      </c>
      <c r="U60" s="259"/>
      <c r="V60" s="259"/>
      <c r="W60" s="260"/>
      <c r="X60" s="263" t="str">
        <f t="shared" si="17"/>
        <v/>
      </c>
      <c r="Y60" s="262">
        <v>0.82291666666666663</v>
      </c>
      <c r="Z60" s="258" t="str">
        <f t="shared" si="18"/>
        <v/>
      </c>
      <c r="AA60" s="259"/>
      <c r="AB60" s="259"/>
      <c r="AC60" s="260"/>
      <c r="AD60" s="263" t="str">
        <f t="shared" si="19"/>
        <v/>
      </c>
    </row>
    <row r="61" spans="1:30" ht="23.25" customHeight="1">
      <c r="A61" s="257">
        <v>0.83333333333333337</v>
      </c>
      <c r="B61" s="258" t="str">
        <f t="shared" si="10"/>
        <v/>
      </c>
      <c r="C61" s="259"/>
      <c r="D61" s="259"/>
      <c r="E61" s="260"/>
      <c r="F61" s="263" t="str">
        <f t="shared" si="11"/>
        <v/>
      </c>
      <c r="G61" s="257">
        <v>0.83333333333333337</v>
      </c>
      <c r="H61" s="258" t="str">
        <f t="shared" si="12"/>
        <v/>
      </c>
      <c r="I61" s="259"/>
      <c r="J61" s="259"/>
      <c r="K61" s="260"/>
      <c r="L61" s="263" t="str">
        <f t="shared" si="13"/>
        <v/>
      </c>
      <c r="M61" s="257">
        <v>0.83333333333333337</v>
      </c>
      <c r="N61" s="258" t="str">
        <f t="shared" si="14"/>
        <v/>
      </c>
      <c r="O61" s="259"/>
      <c r="P61" s="259"/>
      <c r="Q61" s="260"/>
      <c r="R61" s="263" t="str">
        <f t="shared" si="15"/>
        <v/>
      </c>
      <c r="S61" s="257">
        <v>0.83333333333333337</v>
      </c>
      <c r="T61" s="258" t="str">
        <f t="shared" si="16"/>
        <v/>
      </c>
      <c r="U61" s="259"/>
      <c r="V61" s="259"/>
      <c r="W61" s="260"/>
      <c r="X61" s="263" t="str">
        <f t="shared" si="17"/>
        <v/>
      </c>
      <c r="Y61" s="257">
        <v>0.83333333333333337</v>
      </c>
      <c r="Z61" s="258" t="str">
        <f t="shared" si="18"/>
        <v/>
      </c>
      <c r="AA61" s="259"/>
      <c r="AB61" s="259"/>
      <c r="AC61" s="260"/>
      <c r="AD61" s="263" t="str">
        <f t="shared" si="19"/>
        <v/>
      </c>
    </row>
    <row r="62" spans="1:30" ht="23.25" customHeight="1">
      <c r="A62" s="262">
        <v>0.84375</v>
      </c>
      <c r="B62" s="258" t="str">
        <f t="shared" si="10"/>
        <v/>
      </c>
      <c r="C62" s="259"/>
      <c r="D62" s="259"/>
      <c r="E62" s="260"/>
      <c r="F62" s="263" t="str">
        <f t="shared" si="11"/>
        <v/>
      </c>
      <c r="G62" s="262">
        <v>0.84375</v>
      </c>
      <c r="H62" s="258" t="str">
        <f t="shared" si="12"/>
        <v/>
      </c>
      <c r="I62" s="259"/>
      <c r="J62" s="259"/>
      <c r="K62" s="260"/>
      <c r="L62" s="263" t="str">
        <f t="shared" si="13"/>
        <v/>
      </c>
      <c r="M62" s="262">
        <v>0.84375</v>
      </c>
      <c r="N62" s="258" t="str">
        <f t="shared" si="14"/>
        <v/>
      </c>
      <c r="O62" s="259"/>
      <c r="P62" s="259"/>
      <c r="Q62" s="260"/>
      <c r="R62" s="263" t="str">
        <f t="shared" si="15"/>
        <v/>
      </c>
      <c r="S62" s="262">
        <v>0.84375</v>
      </c>
      <c r="T62" s="258" t="str">
        <f t="shared" si="16"/>
        <v/>
      </c>
      <c r="U62" s="259"/>
      <c r="V62" s="259"/>
      <c r="W62" s="260"/>
      <c r="X62" s="263" t="str">
        <f t="shared" si="17"/>
        <v/>
      </c>
      <c r="Y62" s="262">
        <v>0.84375</v>
      </c>
      <c r="Z62" s="258" t="str">
        <f t="shared" si="18"/>
        <v/>
      </c>
      <c r="AA62" s="259"/>
      <c r="AB62" s="259"/>
      <c r="AC62" s="260"/>
      <c r="AD62" s="263" t="str">
        <f t="shared" si="19"/>
        <v/>
      </c>
    </row>
    <row r="63" spans="1:30" ht="23.25" customHeight="1">
      <c r="A63" s="264">
        <v>0.85416666666666663</v>
      </c>
      <c r="B63" s="258" t="str">
        <f t="shared" si="10"/>
        <v/>
      </c>
      <c r="C63" s="259"/>
      <c r="D63" s="259"/>
      <c r="E63" s="260"/>
      <c r="F63" s="263" t="str">
        <f t="shared" si="11"/>
        <v/>
      </c>
      <c r="G63" s="264">
        <v>0.85416666666666663</v>
      </c>
      <c r="H63" s="258" t="str">
        <f t="shared" si="12"/>
        <v/>
      </c>
      <c r="I63" s="259"/>
      <c r="J63" s="259"/>
      <c r="K63" s="260"/>
      <c r="L63" s="263" t="str">
        <f t="shared" si="13"/>
        <v/>
      </c>
      <c r="M63" s="264">
        <v>0.85416666666666663</v>
      </c>
      <c r="N63" s="258" t="str">
        <f t="shared" si="14"/>
        <v/>
      </c>
      <c r="O63" s="259"/>
      <c r="P63" s="259"/>
      <c r="Q63" s="260"/>
      <c r="R63" s="263" t="str">
        <f t="shared" si="15"/>
        <v/>
      </c>
      <c r="S63" s="264">
        <v>0.85416666666666663</v>
      </c>
      <c r="T63" s="258" t="str">
        <f t="shared" si="16"/>
        <v/>
      </c>
      <c r="U63" s="259"/>
      <c r="V63" s="259"/>
      <c r="W63" s="260"/>
      <c r="X63" s="263" t="str">
        <f t="shared" si="17"/>
        <v/>
      </c>
      <c r="Y63" s="264">
        <v>0.85416666666666663</v>
      </c>
      <c r="Z63" s="258" t="str">
        <f t="shared" si="18"/>
        <v/>
      </c>
      <c r="AA63" s="259"/>
      <c r="AB63" s="259"/>
      <c r="AC63" s="260"/>
      <c r="AD63" s="263" t="str">
        <f t="shared" si="19"/>
        <v/>
      </c>
    </row>
    <row r="64" spans="1:30" ht="23.25" customHeight="1">
      <c r="A64" s="262">
        <v>0.86458333333333337</v>
      </c>
      <c r="B64" s="258" t="str">
        <f t="shared" si="10"/>
        <v/>
      </c>
      <c r="C64" s="259"/>
      <c r="D64" s="259"/>
      <c r="E64" s="260"/>
      <c r="F64" s="263" t="str">
        <f t="shared" si="11"/>
        <v/>
      </c>
      <c r="G64" s="262">
        <v>0.86458333333333337</v>
      </c>
      <c r="H64" s="258" t="str">
        <f t="shared" si="12"/>
        <v/>
      </c>
      <c r="I64" s="259"/>
      <c r="J64" s="259"/>
      <c r="K64" s="260"/>
      <c r="L64" s="263" t="str">
        <f t="shared" si="13"/>
        <v/>
      </c>
      <c r="M64" s="262">
        <v>0.86458333333333337</v>
      </c>
      <c r="N64" s="258" t="str">
        <f t="shared" si="14"/>
        <v/>
      </c>
      <c r="O64" s="259"/>
      <c r="P64" s="259"/>
      <c r="Q64" s="260"/>
      <c r="R64" s="263" t="str">
        <f t="shared" si="15"/>
        <v/>
      </c>
      <c r="S64" s="262">
        <v>0.86458333333333337</v>
      </c>
      <c r="T64" s="258" t="str">
        <f t="shared" si="16"/>
        <v/>
      </c>
      <c r="U64" s="259"/>
      <c r="V64" s="259"/>
      <c r="W64" s="260"/>
      <c r="X64" s="263" t="str">
        <f t="shared" si="17"/>
        <v/>
      </c>
      <c r="Y64" s="262">
        <v>0.86458333333333337</v>
      </c>
      <c r="Z64" s="258" t="str">
        <f t="shared" si="18"/>
        <v/>
      </c>
      <c r="AA64" s="259"/>
      <c r="AB64" s="259"/>
      <c r="AC64" s="260"/>
      <c r="AD64" s="263" t="str">
        <f t="shared" si="19"/>
        <v/>
      </c>
    </row>
    <row r="65" spans="1:30" ht="23.25" customHeight="1">
      <c r="A65" s="257">
        <v>0.875</v>
      </c>
      <c r="B65" s="258" t="str">
        <f t="shared" si="10"/>
        <v/>
      </c>
      <c r="C65" s="259"/>
      <c r="D65" s="259"/>
      <c r="E65" s="260"/>
      <c r="F65" s="263" t="str">
        <f t="shared" si="11"/>
        <v/>
      </c>
      <c r="G65" s="257">
        <v>0.875</v>
      </c>
      <c r="H65" s="258" t="str">
        <f t="shared" si="12"/>
        <v/>
      </c>
      <c r="I65" s="259"/>
      <c r="J65" s="259"/>
      <c r="K65" s="260"/>
      <c r="L65" s="263" t="str">
        <f t="shared" si="13"/>
        <v/>
      </c>
      <c r="M65" s="257">
        <v>0.875</v>
      </c>
      <c r="N65" s="258" t="str">
        <f t="shared" si="14"/>
        <v/>
      </c>
      <c r="O65" s="259"/>
      <c r="P65" s="259"/>
      <c r="Q65" s="260"/>
      <c r="R65" s="263" t="str">
        <f t="shared" si="15"/>
        <v/>
      </c>
      <c r="S65" s="257">
        <v>0.875</v>
      </c>
      <c r="T65" s="258" t="str">
        <f t="shared" si="16"/>
        <v/>
      </c>
      <c r="U65" s="259"/>
      <c r="V65" s="259"/>
      <c r="W65" s="260"/>
      <c r="X65" s="263" t="str">
        <f t="shared" si="17"/>
        <v/>
      </c>
      <c r="Y65" s="257">
        <v>0.875</v>
      </c>
      <c r="Z65" s="258" t="str">
        <f t="shared" si="18"/>
        <v/>
      </c>
      <c r="AA65" s="259"/>
      <c r="AB65" s="259"/>
      <c r="AC65" s="260"/>
      <c r="AD65" s="263" t="str">
        <f t="shared" si="19"/>
        <v/>
      </c>
    </row>
    <row r="66" spans="1:30" ht="23.25" customHeight="1">
      <c r="A66" s="262">
        <v>0.88541666666666663</v>
      </c>
      <c r="B66" s="258" t="str">
        <f t="shared" si="10"/>
        <v/>
      </c>
      <c r="C66" s="259"/>
      <c r="D66" s="259"/>
      <c r="E66" s="260"/>
      <c r="F66" s="263" t="str">
        <f t="shared" si="11"/>
        <v/>
      </c>
      <c r="G66" s="262">
        <v>0.88541666666666663</v>
      </c>
      <c r="H66" s="258" t="str">
        <f t="shared" si="12"/>
        <v/>
      </c>
      <c r="I66" s="259"/>
      <c r="J66" s="259"/>
      <c r="K66" s="260"/>
      <c r="L66" s="263" t="str">
        <f t="shared" si="13"/>
        <v/>
      </c>
      <c r="M66" s="262">
        <v>0.88541666666666663</v>
      </c>
      <c r="N66" s="258" t="str">
        <f t="shared" si="14"/>
        <v/>
      </c>
      <c r="O66" s="259"/>
      <c r="P66" s="259"/>
      <c r="Q66" s="260"/>
      <c r="R66" s="263" t="str">
        <f t="shared" si="15"/>
        <v/>
      </c>
      <c r="S66" s="262">
        <v>0.88541666666666663</v>
      </c>
      <c r="T66" s="258" t="str">
        <f t="shared" si="16"/>
        <v/>
      </c>
      <c r="U66" s="259"/>
      <c r="V66" s="259"/>
      <c r="W66" s="260"/>
      <c r="X66" s="263" t="str">
        <f t="shared" si="17"/>
        <v/>
      </c>
      <c r="Y66" s="262">
        <v>0.88541666666666663</v>
      </c>
      <c r="Z66" s="258" t="str">
        <f t="shared" si="18"/>
        <v/>
      </c>
      <c r="AA66" s="259"/>
      <c r="AB66" s="259"/>
      <c r="AC66" s="260"/>
      <c r="AD66" s="263" t="str">
        <f t="shared" si="19"/>
        <v/>
      </c>
    </row>
    <row r="67" spans="1:30" ht="23.25" customHeight="1">
      <c r="A67" s="264">
        <v>0.89583333333333337</v>
      </c>
      <c r="B67" s="258" t="str">
        <f t="shared" si="10"/>
        <v/>
      </c>
      <c r="C67" s="259"/>
      <c r="D67" s="259"/>
      <c r="E67" s="260"/>
      <c r="F67" s="263" t="str">
        <f t="shared" si="11"/>
        <v/>
      </c>
      <c r="G67" s="264">
        <v>0.89583333333333337</v>
      </c>
      <c r="H67" s="258" t="str">
        <f t="shared" si="12"/>
        <v/>
      </c>
      <c r="I67" s="259"/>
      <c r="J67" s="259"/>
      <c r="K67" s="260"/>
      <c r="L67" s="263" t="str">
        <f t="shared" si="13"/>
        <v/>
      </c>
      <c r="M67" s="264">
        <v>0.89583333333333337</v>
      </c>
      <c r="N67" s="258" t="str">
        <f t="shared" si="14"/>
        <v/>
      </c>
      <c r="O67" s="259"/>
      <c r="P67" s="259"/>
      <c r="Q67" s="260"/>
      <c r="R67" s="263" t="str">
        <f t="shared" si="15"/>
        <v/>
      </c>
      <c r="S67" s="264">
        <v>0.89583333333333337</v>
      </c>
      <c r="T67" s="258" t="str">
        <f t="shared" si="16"/>
        <v/>
      </c>
      <c r="U67" s="259"/>
      <c r="V67" s="259"/>
      <c r="W67" s="260"/>
      <c r="X67" s="263" t="str">
        <f t="shared" si="17"/>
        <v/>
      </c>
      <c r="Y67" s="264">
        <v>0.89583333333333337</v>
      </c>
      <c r="Z67" s="258" t="str">
        <f t="shared" si="18"/>
        <v/>
      </c>
      <c r="AA67" s="259"/>
      <c r="AB67" s="259"/>
      <c r="AC67" s="260"/>
      <c r="AD67" s="263" t="str">
        <f t="shared" si="19"/>
        <v/>
      </c>
    </row>
    <row r="68" spans="1:30" ht="23.25" customHeight="1">
      <c r="A68" s="262">
        <v>0.90625</v>
      </c>
      <c r="B68" s="258" t="str">
        <f t="shared" si="10"/>
        <v/>
      </c>
      <c r="C68" s="265"/>
      <c r="D68" s="265"/>
      <c r="E68" s="266"/>
      <c r="F68" s="263" t="str">
        <f t="shared" si="11"/>
        <v/>
      </c>
      <c r="G68" s="262">
        <v>0.90625</v>
      </c>
      <c r="H68" s="258" t="str">
        <f t="shared" si="12"/>
        <v/>
      </c>
      <c r="I68" s="265"/>
      <c r="J68" s="265"/>
      <c r="K68" s="266"/>
      <c r="L68" s="263" t="str">
        <f t="shared" si="13"/>
        <v/>
      </c>
      <c r="M68" s="262">
        <v>0.90625</v>
      </c>
      <c r="N68" s="258" t="str">
        <f t="shared" si="14"/>
        <v/>
      </c>
      <c r="O68" s="265"/>
      <c r="P68" s="265"/>
      <c r="Q68" s="266"/>
      <c r="R68" s="263" t="str">
        <f t="shared" si="15"/>
        <v/>
      </c>
      <c r="S68" s="262">
        <v>0.90625</v>
      </c>
      <c r="T68" s="258" t="str">
        <f t="shared" si="16"/>
        <v/>
      </c>
      <c r="U68" s="265"/>
      <c r="V68" s="265"/>
      <c r="W68" s="266"/>
      <c r="X68" s="263" t="str">
        <f t="shared" si="17"/>
        <v/>
      </c>
      <c r="Y68" s="262">
        <v>0.90625</v>
      </c>
      <c r="Z68" s="258" t="str">
        <f t="shared" si="18"/>
        <v/>
      </c>
      <c r="AA68" s="265"/>
      <c r="AB68" s="265"/>
      <c r="AC68" s="266"/>
      <c r="AD68" s="263" t="str">
        <f t="shared" si="19"/>
        <v/>
      </c>
    </row>
    <row r="69" spans="1:30" ht="23.25" customHeight="1">
      <c r="A69" s="257">
        <v>0.91666666666666663</v>
      </c>
      <c r="B69" s="258" t="str">
        <f t="shared" ref="B69:B73" si="20">IFERROR(INDEX($E$81:$E$119,MATCH(A69,$F$81:$F$119,0),1),"")</f>
        <v/>
      </c>
      <c r="C69" s="265"/>
      <c r="D69" s="265"/>
      <c r="E69" s="266"/>
      <c r="F69" s="263" t="str">
        <f t="shared" ref="F69:F73" si="21">IFERROR(INDEX(E$120:E$123,MATCH($A69,F$120:F$123,0),1),"")</f>
        <v/>
      </c>
      <c r="G69" s="257">
        <v>0.91666666666666663</v>
      </c>
      <c r="H69" s="258" t="str">
        <f t="shared" ref="H69:H73" si="22">IFERROR(INDEX($K$81:$K$119,MATCH(G69,$L$81:$L$119,0),1),"")</f>
        <v/>
      </c>
      <c r="I69" s="265"/>
      <c r="J69" s="265"/>
      <c r="K69" s="266"/>
      <c r="L69" s="263" t="str">
        <f t="shared" ref="L69:L73" si="23">IFERROR(INDEX(K$120:K$123,MATCH($A69,L$120:L$123,0),1),"")</f>
        <v/>
      </c>
      <c r="M69" s="257">
        <v>0.91666666666666663</v>
      </c>
      <c r="N69" s="258" t="str">
        <f t="shared" ref="N69:N73" si="24">IFERROR(INDEX($Q$81:$Q$119,MATCH(M69,$R$81:$R$119,0),1),"")</f>
        <v/>
      </c>
      <c r="O69" s="265"/>
      <c r="P69" s="265"/>
      <c r="Q69" s="266"/>
      <c r="R69" s="263" t="str">
        <f t="shared" ref="R69:R73" si="25">IFERROR(INDEX(Q$120:Q$123,MATCH($A69,R$120:R$123,0),1),"")</f>
        <v/>
      </c>
      <c r="S69" s="257">
        <v>0.91666666666666663</v>
      </c>
      <c r="T69" s="258" t="str">
        <f t="shared" ref="T69:T73" si="26">IFERROR(INDEX($W$81:$W$119,MATCH(S69,$X$81:$X$119,0),1),"")</f>
        <v/>
      </c>
      <c r="U69" s="265"/>
      <c r="V69" s="265"/>
      <c r="W69" s="266"/>
      <c r="X69" s="263" t="str">
        <f t="shared" ref="X69:X73" si="27">IFERROR(INDEX(W$120:W$123,MATCH($A69,X$120:X$123,0),1),"")</f>
        <v/>
      </c>
      <c r="Y69" s="257">
        <v>0.91666666666666663</v>
      </c>
      <c r="Z69" s="258" t="str">
        <f t="shared" ref="Z69:Z73" si="28">IFERROR(INDEX($AC$81:$AC$119,MATCH(Y69,$AD$81:$AD$119,0),1),"")</f>
        <v/>
      </c>
      <c r="AA69" s="265"/>
      <c r="AB69" s="265"/>
      <c r="AC69" s="266"/>
      <c r="AD69" s="263" t="str">
        <f t="shared" ref="AD69:AD73" si="29">IFERROR(INDEX(AC$120:AC$123,MATCH($A69,AD$120:AD$123,0),1),"")</f>
        <v/>
      </c>
    </row>
    <row r="70" spans="1:30" ht="23.25" customHeight="1">
      <c r="A70" s="262">
        <v>0.92708333333333337</v>
      </c>
      <c r="B70" s="258" t="str">
        <f t="shared" si="20"/>
        <v/>
      </c>
      <c r="C70" s="265"/>
      <c r="D70" s="265"/>
      <c r="E70" s="266"/>
      <c r="F70" s="263" t="str">
        <f t="shared" si="21"/>
        <v/>
      </c>
      <c r="G70" s="262">
        <v>0.92708333333333337</v>
      </c>
      <c r="H70" s="258" t="str">
        <f t="shared" si="22"/>
        <v/>
      </c>
      <c r="I70" s="265"/>
      <c r="J70" s="265"/>
      <c r="K70" s="266"/>
      <c r="L70" s="263" t="str">
        <f t="shared" si="23"/>
        <v/>
      </c>
      <c r="M70" s="262">
        <v>0.92708333333333337</v>
      </c>
      <c r="N70" s="258" t="str">
        <f t="shared" si="24"/>
        <v/>
      </c>
      <c r="O70" s="265"/>
      <c r="P70" s="265"/>
      <c r="Q70" s="266"/>
      <c r="R70" s="263" t="str">
        <f t="shared" si="25"/>
        <v/>
      </c>
      <c r="S70" s="262">
        <v>0.92708333333333337</v>
      </c>
      <c r="T70" s="258" t="str">
        <f t="shared" si="26"/>
        <v/>
      </c>
      <c r="U70" s="265"/>
      <c r="V70" s="265"/>
      <c r="W70" s="266"/>
      <c r="X70" s="263" t="str">
        <f t="shared" si="27"/>
        <v/>
      </c>
      <c r="Y70" s="262">
        <v>0.92708333333333337</v>
      </c>
      <c r="Z70" s="258" t="str">
        <f t="shared" si="28"/>
        <v/>
      </c>
      <c r="AA70" s="265"/>
      <c r="AB70" s="265"/>
      <c r="AC70" s="266"/>
      <c r="AD70" s="263" t="str">
        <f t="shared" si="29"/>
        <v/>
      </c>
    </row>
    <row r="71" spans="1:30" ht="23.25" customHeight="1">
      <c r="A71" s="264">
        <v>0.9375</v>
      </c>
      <c r="B71" s="258" t="str">
        <f t="shared" si="20"/>
        <v/>
      </c>
      <c r="C71" s="265"/>
      <c r="D71" s="265"/>
      <c r="E71" s="266"/>
      <c r="F71" s="263" t="str">
        <f t="shared" si="21"/>
        <v/>
      </c>
      <c r="G71" s="264">
        <v>0.9375</v>
      </c>
      <c r="H71" s="258" t="str">
        <f t="shared" si="22"/>
        <v/>
      </c>
      <c r="I71" s="265"/>
      <c r="J71" s="265"/>
      <c r="K71" s="266"/>
      <c r="L71" s="263" t="str">
        <f t="shared" si="23"/>
        <v/>
      </c>
      <c r="M71" s="264">
        <v>0.9375</v>
      </c>
      <c r="N71" s="258" t="str">
        <f t="shared" si="24"/>
        <v/>
      </c>
      <c r="O71" s="265"/>
      <c r="P71" s="265"/>
      <c r="Q71" s="266"/>
      <c r="R71" s="263" t="str">
        <f t="shared" si="25"/>
        <v/>
      </c>
      <c r="S71" s="264">
        <v>0.9375</v>
      </c>
      <c r="T71" s="258" t="str">
        <f t="shared" si="26"/>
        <v/>
      </c>
      <c r="U71" s="265"/>
      <c r="V71" s="265"/>
      <c r="W71" s="266"/>
      <c r="X71" s="263" t="str">
        <f t="shared" si="27"/>
        <v/>
      </c>
      <c r="Y71" s="264">
        <v>0.9375</v>
      </c>
      <c r="Z71" s="258" t="str">
        <f t="shared" si="28"/>
        <v/>
      </c>
      <c r="AA71" s="265"/>
      <c r="AB71" s="265"/>
      <c r="AC71" s="266"/>
      <c r="AD71" s="263" t="str">
        <f t="shared" si="29"/>
        <v/>
      </c>
    </row>
    <row r="72" spans="1:30" ht="23.25" customHeight="1">
      <c r="A72" s="267">
        <v>0.94791666666666663</v>
      </c>
      <c r="B72" s="258" t="str">
        <f t="shared" si="20"/>
        <v/>
      </c>
      <c r="C72" s="265"/>
      <c r="D72" s="265"/>
      <c r="E72" s="266"/>
      <c r="F72" s="263" t="str">
        <f t="shared" si="21"/>
        <v/>
      </c>
      <c r="G72" s="267">
        <v>0.94791666666666663</v>
      </c>
      <c r="H72" s="258" t="str">
        <f t="shared" si="22"/>
        <v/>
      </c>
      <c r="I72" s="265"/>
      <c r="J72" s="265"/>
      <c r="K72" s="266"/>
      <c r="L72" s="263" t="str">
        <f t="shared" si="23"/>
        <v/>
      </c>
      <c r="M72" s="267">
        <v>0.94791666666666663</v>
      </c>
      <c r="N72" s="258" t="str">
        <f t="shared" si="24"/>
        <v/>
      </c>
      <c r="O72" s="265"/>
      <c r="P72" s="265"/>
      <c r="Q72" s="266"/>
      <c r="R72" s="263" t="str">
        <f t="shared" si="25"/>
        <v/>
      </c>
      <c r="S72" s="267">
        <v>0.94791666666666663</v>
      </c>
      <c r="T72" s="258" t="str">
        <f t="shared" si="26"/>
        <v/>
      </c>
      <c r="U72" s="265"/>
      <c r="V72" s="265"/>
      <c r="W72" s="266"/>
      <c r="X72" s="263" t="str">
        <f t="shared" si="27"/>
        <v/>
      </c>
      <c r="Y72" s="267">
        <v>0.94791666666666663</v>
      </c>
      <c r="Z72" s="258" t="str">
        <f t="shared" si="28"/>
        <v/>
      </c>
      <c r="AA72" s="265"/>
      <c r="AB72" s="265"/>
      <c r="AC72" s="266"/>
      <c r="AD72" s="263" t="str">
        <f t="shared" si="29"/>
        <v/>
      </c>
    </row>
    <row r="73" spans="1:30" ht="23.25" customHeight="1">
      <c r="A73" s="268">
        <v>0.95833333333333337</v>
      </c>
      <c r="B73" s="269" t="str">
        <f t="shared" si="20"/>
        <v>消灯</v>
      </c>
      <c r="C73" s="270"/>
      <c r="D73" s="270"/>
      <c r="E73" s="271"/>
      <c r="F73" s="272" t="str">
        <f t="shared" si="21"/>
        <v/>
      </c>
      <c r="G73" s="268">
        <v>0.95833333333333337</v>
      </c>
      <c r="H73" s="269" t="str">
        <f t="shared" si="22"/>
        <v/>
      </c>
      <c r="I73" s="270"/>
      <c r="J73" s="270"/>
      <c r="K73" s="271"/>
      <c r="L73" s="272" t="str">
        <f t="shared" si="23"/>
        <v/>
      </c>
      <c r="M73" s="268">
        <v>0.95833333333333337</v>
      </c>
      <c r="N73" s="269" t="str">
        <f t="shared" si="24"/>
        <v>消灯</v>
      </c>
      <c r="O73" s="270"/>
      <c r="P73" s="270"/>
      <c r="Q73" s="271"/>
      <c r="R73" s="272" t="str">
        <f t="shared" si="25"/>
        <v/>
      </c>
      <c r="S73" s="268">
        <v>0.95833333333333337</v>
      </c>
      <c r="T73" s="269" t="str">
        <f t="shared" si="26"/>
        <v>消灯</v>
      </c>
      <c r="U73" s="270"/>
      <c r="V73" s="270"/>
      <c r="W73" s="271"/>
      <c r="X73" s="272" t="str">
        <f t="shared" si="27"/>
        <v/>
      </c>
      <c r="Y73" s="268">
        <v>0.95833333333333337</v>
      </c>
      <c r="Z73" s="269" t="str">
        <f t="shared" si="28"/>
        <v>消灯</v>
      </c>
      <c r="AA73" s="270"/>
      <c r="AB73" s="270"/>
      <c r="AC73" s="271"/>
      <c r="AD73" s="272" t="str">
        <f t="shared" si="29"/>
        <v/>
      </c>
    </row>
    <row r="74" spans="1:30" ht="14.25">
      <c r="A74" s="273">
        <v>0</v>
      </c>
      <c r="B74" s="259"/>
      <c r="C74" s="259"/>
      <c r="D74" s="259"/>
      <c r="E74" s="259"/>
      <c r="F74" s="274"/>
      <c r="G74" s="273"/>
      <c r="H74" s="259"/>
      <c r="I74" s="259"/>
      <c r="J74" s="259"/>
      <c r="K74" s="259"/>
      <c r="L74" s="274"/>
      <c r="M74" s="273">
        <v>0</v>
      </c>
      <c r="N74" s="259"/>
      <c r="O74" s="259"/>
      <c r="P74" s="259"/>
      <c r="Q74" s="259"/>
      <c r="R74" s="274"/>
      <c r="S74" s="273"/>
      <c r="T74" s="259"/>
      <c r="U74" s="259"/>
      <c r="V74" s="259"/>
      <c r="W74" s="259"/>
      <c r="X74" s="274"/>
      <c r="Y74" s="273"/>
      <c r="Z74" s="259"/>
      <c r="AA74" s="259"/>
      <c r="AB74" s="259"/>
      <c r="AC74" s="259"/>
      <c r="AD74" s="274"/>
    </row>
    <row r="75" spans="1:30" ht="28.5" customHeight="1">
      <c r="F75" s="275"/>
      <c r="G75" s="275"/>
      <c r="R75" s="275"/>
      <c r="S75" s="275"/>
      <c r="Y75" s="275"/>
    </row>
    <row r="76" spans="1:30" ht="28.5" customHeight="1">
      <c r="D76">
        <v>1</v>
      </c>
      <c r="F76" s="275"/>
      <c r="G76" s="275"/>
      <c r="R76" s="275"/>
      <c r="S76" s="275"/>
      <c r="Y76" s="275"/>
    </row>
    <row r="77" spans="1:30" ht="28.5" customHeight="1" thickBot="1">
      <c r="D77">
        <v>2</v>
      </c>
      <c r="F77" s="275"/>
      <c r="G77" s="275"/>
      <c r="R77" s="275"/>
      <c r="S77" s="275"/>
      <c r="Y77" s="275"/>
    </row>
    <row r="78" spans="1:30" s="276" customFormat="1" ht="28.5" customHeight="1" thickTop="1">
      <c r="D78" s="276">
        <v>3</v>
      </c>
      <c r="E78" s="277">
        <f>A1</f>
        <v>43069</v>
      </c>
      <c r="F78" s="278" t="s">
        <v>339</v>
      </c>
      <c r="G78" s="279"/>
      <c r="H78" s="277"/>
      <c r="I78" s="280"/>
      <c r="K78" s="277">
        <f>G1</f>
        <v>43070</v>
      </c>
      <c r="L78" s="276" t="e">
        <f>HLOOKUP(K$78,'＜表示→コピペ＞活動計画まとめ'!$E$1:$I$92,$D77,FALSE)</f>
        <v>#N/A</v>
      </c>
      <c r="M78" s="279"/>
      <c r="Q78" s="277" t="str">
        <f>M1</f>
        <v/>
      </c>
      <c r="R78" s="276" t="str">
        <f>HLOOKUP(Q$78,'＜表示→コピペ＞活動計画まとめ'!$E$1:$I$92,$D77,FALSE)</f>
        <v>中日①</v>
      </c>
      <c r="S78" s="279"/>
      <c r="U78" s="280"/>
      <c r="W78" s="277" t="str">
        <f>S1</f>
        <v/>
      </c>
      <c r="X78" s="281" t="str">
        <f>HLOOKUP(W$78,'＜表示→コピペ＞活動計画まとめ'!$E$1:$I$92,$D77,FALSE)</f>
        <v>中日①</v>
      </c>
      <c r="Y78" s="279"/>
      <c r="AA78" s="280"/>
      <c r="AC78" s="277" t="str">
        <f>Y1</f>
        <v/>
      </c>
      <c r="AD78" s="276" t="str">
        <f>HLOOKUP(AC$78,'＜表示→コピペ＞活動計画まとめ'!$E$1:$I$92,$D77,FALSE)</f>
        <v>中日①</v>
      </c>
    </row>
    <row r="79" spans="1:30" s="282" customFormat="1" ht="28.5" customHeight="1">
      <c r="D79" s="282">
        <v>4</v>
      </c>
      <c r="E79" s="282">
        <v>0.1</v>
      </c>
      <c r="F79" s="283">
        <f>宿泊者名簿!A7</f>
        <v>0</v>
      </c>
      <c r="I79" s="284"/>
      <c r="K79" s="282">
        <v>0.2</v>
      </c>
      <c r="L79" s="282" t="e">
        <f>HLOOKUP(K$78,'＜表示→コピペ＞活動計画まとめ'!$E$1:$I$92,$D78,FALSE)</f>
        <v>#N/A</v>
      </c>
      <c r="M79" s="285"/>
      <c r="Q79" s="282">
        <v>0.3</v>
      </c>
      <c r="R79" s="282">
        <f>HLOOKUP(Q$78,'＜表示→コピペ＞活動計画まとめ'!$E$1:$I$92,$D78,FALSE)</f>
        <v>0</v>
      </c>
      <c r="U79" s="284"/>
      <c r="W79" s="282">
        <v>0.4</v>
      </c>
      <c r="X79" s="282">
        <f>HLOOKUP(W$78,'＜表示→コピペ＞活動計画まとめ'!$E$1:$I$92,$D78,FALSE)</f>
        <v>0</v>
      </c>
      <c r="AA79" s="284"/>
      <c r="AC79" s="282">
        <v>0.4</v>
      </c>
      <c r="AD79" s="282">
        <f>HLOOKUP(AC$78,'＜表示→コピペ＞活動計画まとめ'!$E$1:$I$92,$D78,FALSE)</f>
        <v>0</v>
      </c>
    </row>
    <row r="80" spans="1:30" s="282" customFormat="1" ht="28.5" customHeight="1" thickBot="1">
      <c r="D80" s="282">
        <v>5</v>
      </c>
      <c r="E80" s="286">
        <f>E78+E79</f>
        <v>43069.1</v>
      </c>
      <c r="F80" s="283">
        <f>宿泊者名簿!B16</f>
        <v>0</v>
      </c>
      <c r="G80" s="285"/>
      <c r="I80" s="282">
        <v>48</v>
      </c>
      <c r="K80" s="286">
        <f>K78+K79</f>
        <v>43070.2</v>
      </c>
      <c r="L80" s="286" t="e">
        <f>HLOOKUP(K$78,'＜表示→コピペ＞活動計画まとめ'!$E$1:$I$92,$D79,FALSE)</f>
        <v>#N/A</v>
      </c>
      <c r="M80" s="285"/>
      <c r="Q80" s="286" t="e">
        <f>Q78+Q79</f>
        <v>#VALUE!</v>
      </c>
      <c r="R80" s="286">
        <f>HLOOKUP(Q$78,'＜表示→コピペ＞活動計画まとめ'!$E$1:$I$92,$D79,FALSE)</f>
        <v>0</v>
      </c>
      <c r="S80" s="285"/>
      <c r="U80" s="284"/>
      <c r="W80" s="287" t="e">
        <f>W78+W79</f>
        <v>#VALUE!</v>
      </c>
      <c r="X80" s="286">
        <f>HLOOKUP(W$78,'＜表示→コピペ＞活動計画まとめ'!$E$1:$I$92,$D79,FALSE)</f>
        <v>0</v>
      </c>
      <c r="Y80" s="285"/>
      <c r="AA80" s="284"/>
      <c r="AC80" s="286" t="e">
        <f>AC78+AC79</f>
        <v>#VALUE!</v>
      </c>
      <c r="AD80" s="286">
        <f>HLOOKUP(AC$78,'＜表示→コピペ＞活動計画まとめ'!$E$1:$I$92,$D79,FALSE)</f>
        <v>0</v>
      </c>
    </row>
    <row r="81" spans="1:32" s="282" customFormat="1" ht="28.5" customHeight="1">
      <c r="A81" s="898" t="s">
        <v>309</v>
      </c>
      <c r="B81" s="861" t="s">
        <v>303</v>
      </c>
      <c r="C81" s="216" t="s">
        <v>304</v>
      </c>
      <c r="D81" s="282">
        <v>6</v>
      </c>
      <c r="E81" s="309" t="str">
        <f>HLOOKUP(E$78,'＜表示→コピペ＞活動計画まとめ'!$E$1:$I$202,$D80,FALSE)</f>
        <v>朝食（食堂）</v>
      </c>
      <c r="F81" s="310" t="str">
        <f>HLOOKUP(E$78,'＜表示→コピペ＞活動計画まとめ'!$E$1:$I$202,$I80,FALSE)</f>
        <v/>
      </c>
      <c r="G81" s="311">
        <f>IF(F81="",H81,F81+H81)</f>
        <v>3.125E-2</v>
      </c>
      <c r="H81" s="290">
        <v>3.125E-2</v>
      </c>
      <c r="I81" s="282">
        <v>49</v>
      </c>
      <c r="K81" s="288" t="e">
        <f>HLOOKUP(K$78,'＜表示→コピペ＞活動計画まとめ'!$E$1:$I$202,$D80,FALSE)</f>
        <v>#N/A</v>
      </c>
      <c r="L81" s="291" t="e">
        <f>HLOOKUP(K$78,'＜表示→コピペ＞活動計画まとめ'!$E$1:$I$202,$I80,FALSE)</f>
        <v>#N/A</v>
      </c>
      <c r="M81" s="285" t="e">
        <f>IF(L81="",N81,L81+N81)</f>
        <v>#N/A</v>
      </c>
      <c r="N81" s="290">
        <v>3.125E-2</v>
      </c>
      <c r="Q81" s="288" t="str">
        <f>HLOOKUP(Q$78,'＜表示→コピペ＞活動計画まとめ'!$E$1:$I$202,$D80,FALSE)</f>
        <v>朝食（食堂）～テーブル</v>
      </c>
      <c r="R81" s="291" t="str">
        <f>HLOOKUP(Q$78,'＜表示→コピペ＞活動計画まとめ'!$E$1:$I$202,$I80,FALSE)</f>
        <v/>
      </c>
      <c r="S81" s="285">
        <f>IF(R81="",T81,R81+T81)</f>
        <v>3.125E-2</v>
      </c>
      <c r="T81" s="290">
        <v>3.125E-2</v>
      </c>
      <c r="U81" s="284"/>
      <c r="W81" s="288" t="str">
        <f>HLOOKUP(W$78,'＜表示→コピペ＞活動計画まとめ'!$E$1:$I$202,$D80,FALSE)</f>
        <v>朝食（食堂）～テーブル</v>
      </c>
      <c r="X81" s="291" t="str">
        <f>HLOOKUP(W$78,'＜表示→コピペ＞活動計画まとめ'!$E$1:$I$202,$I80,FALSE)</f>
        <v/>
      </c>
      <c r="Y81" s="285">
        <f>IF(X81="",Z81,X81+Z81)</f>
        <v>3.125E-2</v>
      </c>
      <c r="Z81" s="290">
        <v>3.125E-2</v>
      </c>
      <c r="AA81" s="284"/>
      <c r="AC81" s="288" t="str">
        <f>HLOOKUP(AC$78,'＜表示→コピペ＞活動計画まとめ'!$E$1:$I$202,$D80,FALSE)</f>
        <v>朝食（食堂）～テーブル</v>
      </c>
      <c r="AD81" s="291" t="str">
        <f>HLOOKUP(AC$78,'＜表示→コピペ＞活動計画まとめ'!$E$1:$I$202,$I80,FALSE)</f>
        <v/>
      </c>
      <c r="AE81" s="285">
        <f>IF(AD81="",AF81,AD81+AF81)</f>
        <v>3.125E-2</v>
      </c>
      <c r="AF81" s="290">
        <v>3.125E-2</v>
      </c>
    </row>
    <row r="82" spans="1:32" s="282" customFormat="1" ht="28.5" customHeight="1">
      <c r="A82" s="898"/>
      <c r="B82" s="861"/>
      <c r="C82" s="216" t="s">
        <v>305</v>
      </c>
      <c r="D82" s="282">
        <v>7</v>
      </c>
      <c r="E82" s="312" t="str">
        <f>HLOOKUP(E$78,'＜表示→コピペ＞活動計画まとめ'!$E$1:$I$202,$D81,FALSE)</f>
        <v>昼食（食堂）～テーブル</v>
      </c>
      <c r="F82" s="306" t="str">
        <f>HLOOKUP(E$78,'＜表示→コピペ＞活動計画まとめ'!$E$1:$I$202,$I81,FALSE)</f>
        <v/>
      </c>
      <c r="G82" s="313">
        <f t="shared" ref="G82:G123" si="30">IF(F82="",H82,F82+H82)</f>
        <v>3.125E-2</v>
      </c>
      <c r="H82" s="290">
        <v>3.125E-2</v>
      </c>
      <c r="I82" s="282">
        <v>50</v>
      </c>
      <c r="K82" s="292" t="e">
        <f>HLOOKUP(K$78,'＜表示→コピペ＞活動計画まとめ'!$E$1:$I$202,$D81,FALSE)</f>
        <v>#N/A</v>
      </c>
      <c r="L82" s="294" t="e">
        <f>HLOOKUP(K$78,'＜表示→コピペ＞活動計画まとめ'!$E$1:$I$202,$I81,FALSE)</f>
        <v>#N/A</v>
      </c>
      <c r="M82" s="285" t="e">
        <f t="shared" ref="M82:M123" si="31">IF(L82="",N82,L82+N82)</f>
        <v>#N/A</v>
      </c>
      <c r="N82" s="290">
        <v>3.125E-2</v>
      </c>
      <c r="Q82" s="292" t="str">
        <f>HLOOKUP(Q$78,'＜表示→コピペ＞活動計画まとめ'!$E$1:$I$202,$D81,FALSE)</f>
        <v>昼食（食堂）～テーブル</v>
      </c>
      <c r="R82" s="294" t="str">
        <f>HLOOKUP(Q$78,'＜表示→コピペ＞活動計画まとめ'!$E$1:$I$202,$I81,FALSE)</f>
        <v/>
      </c>
      <c r="S82" s="285">
        <f t="shared" ref="S82:S123" si="32">IF(R82="",T82,R82+T82)</f>
        <v>3.125E-2</v>
      </c>
      <c r="T82" s="290">
        <v>3.125E-2</v>
      </c>
      <c r="U82" s="284"/>
      <c r="W82" s="292" t="str">
        <f>HLOOKUP(W$78,'＜表示→コピペ＞活動計画まとめ'!$E$1:$I$202,$D81,FALSE)</f>
        <v>昼食（食堂）～テーブル</v>
      </c>
      <c r="X82" s="294" t="str">
        <f>HLOOKUP(W$78,'＜表示→コピペ＞活動計画まとめ'!$E$1:$I$202,$I81,FALSE)</f>
        <v/>
      </c>
      <c r="Y82" s="285">
        <f t="shared" ref="Y82:Y123" si="33">IF(X82="",Z82,X82+Z82)</f>
        <v>3.125E-2</v>
      </c>
      <c r="Z82" s="290">
        <v>3.125E-2</v>
      </c>
      <c r="AA82" s="284"/>
      <c r="AC82" s="292" t="str">
        <f>HLOOKUP(AC$78,'＜表示→コピペ＞活動計画まとめ'!$E$1:$I$202,$D81,FALSE)</f>
        <v>昼食（食堂）～テーブル</v>
      </c>
      <c r="AD82" s="294" t="str">
        <f>HLOOKUP(AC$78,'＜表示→コピペ＞活動計画まとめ'!$E$1:$I$202,$I81,FALSE)</f>
        <v/>
      </c>
      <c r="AE82" s="285">
        <f t="shared" ref="AE82:AE123" si="34">IF(AD82="",AF82,AD82+AF82)</f>
        <v>3.125E-2</v>
      </c>
      <c r="AF82" s="290">
        <v>3.125E-2</v>
      </c>
    </row>
    <row r="83" spans="1:32" s="282" customFormat="1" ht="28.5" customHeight="1">
      <c r="A83" s="898"/>
      <c r="B83" s="861"/>
      <c r="C83" s="216" t="s">
        <v>306</v>
      </c>
      <c r="D83" s="282">
        <v>8</v>
      </c>
      <c r="E83" s="312" t="str">
        <f>HLOOKUP(E$78,'＜表示→コピペ＞活動計画まとめ'!$E$1:$I$202,$D82,FALSE)</f>
        <v>夕食（食堂）～テーブル</v>
      </c>
      <c r="F83" s="306" t="str">
        <f>HLOOKUP(E$78,'＜表示→コピペ＞活動計画まとめ'!$E$1:$I$202,$I82,FALSE)</f>
        <v/>
      </c>
      <c r="G83" s="313">
        <f t="shared" si="30"/>
        <v>2.7777777777777776E-2</v>
      </c>
      <c r="H83" s="290">
        <v>2.7777777777777776E-2</v>
      </c>
      <c r="I83" s="282">
        <v>51</v>
      </c>
      <c r="K83" s="292" t="e">
        <f>HLOOKUP(K$78,'＜表示→コピペ＞活動計画まとめ'!$E$1:$I$202,$D82,FALSE)</f>
        <v>#N/A</v>
      </c>
      <c r="L83" s="294" t="e">
        <f>HLOOKUP(K$78,'＜表示→コピペ＞活動計画まとめ'!$E$1:$I$202,$I82,FALSE)</f>
        <v>#N/A</v>
      </c>
      <c r="M83" s="285" t="e">
        <f t="shared" si="31"/>
        <v>#N/A</v>
      </c>
      <c r="N83" s="290">
        <v>2.7777777777777776E-2</v>
      </c>
      <c r="Q83" s="292" t="str">
        <f>HLOOKUP(Q$78,'＜表示→コピペ＞活動計画まとめ'!$E$1:$I$202,$D82,FALSE)</f>
        <v>夕食（食堂）～テーブル</v>
      </c>
      <c r="R83" s="294" t="str">
        <f>HLOOKUP(Q$78,'＜表示→コピペ＞活動計画まとめ'!$E$1:$I$202,$I82,FALSE)</f>
        <v/>
      </c>
      <c r="S83" s="285">
        <f t="shared" si="32"/>
        <v>2.7777777777777776E-2</v>
      </c>
      <c r="T83" s="290">
        <v>2.7777777777777776E-2</v>
      </c>
      <c r="U83" s="284"/>
      <c r="W83" s="292" t="str">
        <f>HLOOKUP(W$78,'＜表示→コピペ＞活動計画まとめ'!$E$1:$I$202,$D82,FALSE)</f>
        <v>夕食（食堂）～テーブル</v>
      </c>
      <c r="X83" s="294" t="str">
        <f>HLOOKUP(W$78,'＜表示→コピペ＞活動計画まとめ'!$E$1:$I$202,$I82,FALSE)</f>
        <v/>
      </c>
      <c r="Y83" s="285">
        <f t="shared" si="33"/>
        <v>2.7777777777777776E-2</v>
      </c>
      <c r="Z83" s="290">
        <v>2.7777777777777776E-2</v>
      </c>
      <c r="AA83" s="284"/>
      <c r="AC83" s="292" t="str">
        <f>HLOOKUP(AC$78,'＜表示→コピペ＞活動計画まとめ'!$E$1:$I$202,$D82,FALSE)</f>
        <v>夕食（食堂）～テーブル</v>
      </c>
      <c r="AD83" s="294" t="str">
        <f>HLOOKUP(AC$78,'＜表示→コピペ＞活動計画まとめ'!$E$1:$I$202,$I82,FALSE)</f>
        <v/>
      </c>
      <c r="AE83" s="285">
        <f t="shared" si="34"/>
        <v>2.7777777777777776E-2</v>
      </c>
      <c r="AF83" s="290">
        <v>2.7777777777777776E-2</v>
      </c>
    </row>
    <row r="84" spans="1:32" s="282" customFormat="1" ht="28.5" customHeight="1" thickBot="1">
      <c r="A84" s="898"/>
      <c r="B84" s="861"/>
      <c r="C84" s="216" t="s">
        <v>307</v>
      </c>
      <c r="D84" s="282">
        <v>9</v>
      </c>
      <c r="E84" s="312" t="str">
        <f>HLOOKUP(E$78,'＜表示→コピペ＞活動計画まとめ'!$E$1:$I$202,$D83,FALSE)</f>
        <v xml:space="preserve">補食 </v>
      </c>
      <c r="F84" s="306" t="str">
        <f>IF(HLOOKUP(E$78,'＜表示→コピペ＞活動計画まとめ'!$E$1:$I$202,$I83,FALSE)="","",TIME(22,0,0))</f>
        <v/>
      </c>
      <c r="G84" s="313">
        <f t="shared" si="30"/>
        <v>1.0416666666666666E-2</v>
      </c>
      <c r="H84" s="290">
        <v>1.0416666666666666E-2</v>
      </c>
      <c r="I84" s="282">
        <v>52</v>
      </c>
      <c r="K84" s="295" t="e">
        <f>HLOOKUP(K$78,'＜表示→コピペ＞活動計画まとめ'!$E$1:$I$202,$D83,FALSE)</f>
        <v>#N/A</v>
      </c>
      <c r="L84" s="294" t="e">
        <f>IF(HLOOKUP(K$78,'＜表示→コピペ＞活動計画まとめ'!$E$1:$I$202,$I83,FALSE)="","",TIME(22,0,0))</f>
        <v>#N/A</v>
      </c>
      <c r="M84" s="285" t="e">
        <f t="shared" si="31"/>
        <v>#N/A</v>
      </c>
      <c r="N84" s="290">
        <v>1.0416666666666666E-2</v>
      </c>
      <c r="P84" s="298"/>
      <c r="Q84" s="295" t="str">
        <f>HLOOKUP(Q$78,'＜表示→コピペ＞活動計画まとめ'!$E$1:$I$202,$D83,FALSE)</f>
        <v xml:space="preserve">補食 </v>
      </c>
      <c r="R84" s="297" t="str">
        <f>IF(HLOOKUP(Q$78,'＜表示→コピペ＞活動計画まとめ'!$E$1:$I$202,$I83,FALSE)="","",TIME(22,0,0))</f>
        <v/>
      </c>
      <c r="S84" s="285">
        <f t="shared" si="32"/>
        <v>1.0416666666666666E-2</v>
      </c>
      <c r="T84" s="290">
        <v>1.0416666666666666E-2</v>
      </c>
      <c r="U84" s="284"/>
      <c r="W84" s="295" t="str">
        <f>HLOOKUP(W$78,'＜表示→コピペ＞活動計画まとめ'!$E$1:$I$202,$D83,FALSE)</f>
        <v xml:space="preserve">補食 </v>
      </c>
      <c r="X84" s="297" t="str">
        <f>IF(HLOOKUP(W$78,'＜表示→コピペ＞活動計画まとめ'!$E$1:$I$202,$I83,FALSE)="","",TIME(22,0,0))</f>
        <v/>
      </c>
      <c r="Y84" s="285">
        <f t="shared" si="33"/>
        <v>1.0416666666666666E-2</v>
      </c>
      <c r="Z84" s="290">
        <v>1.0416666666666666E-2</v>
      </c>
      <c r="AA84" s="284"/>
      <c r="AC84" s="295" t="str">
        <f>HLOOKUP(AC$78,'＜表示→コピペ＞活動計画まとめ'!$E$1:$I$202,$D83,FALSE)</f>
        <v xml:space="preserve">補食 </v>
      </c>
      <c r="AD84" s="297" t="str">
        <f>IF(HLOOKUP(AC$78,'＜表示→コピペ＞活動計画まとめ'!$E$1:$I$202,$I83,FALSE)="","",TIME(22,0,0))</f>
        <v/>
      </c>
      <c r="AE84" s="285">
        <f t="shared" si="34"/>
        <v>1.0416666666666666E-2</v>
      </c>
      <c r="AF84" s="290">
        <v>1.0416666666666666E-2</v>
      </c>
    </row>
    <row r="85" spans="1:32" s="282" customFormat="1" ht="28.5" customHeight="1" thickBot="1">
      <c r="A85" s="898"/>
      <c r="B85" s="23"/>
      <c r="C85" s="216" t="s">
        <v>343</v>
      </c>
      <c r="D85" s="282">
        <v>10</v>
      </c>
      <c r="E85" s="314" t="str">
        <f>HLOOKUP(E$78,'＜表示→コピペ＞活動計画まとめ'!$E$1:$I$202,$D84,FALSE)</f>
        <v xml:space="preserve">飲料 </v>
      </c>
      <c r="F85" s="315" t="str">
        <f>IF(HLOOKUP(E$78,'＜表示→コピペ＞活動計画まとめ'!$E$1:$I$202,$I84,FALSE)="","",TIME(22,15,0))</f>
        <v/>
      </c>
      <c r="G85" s="316">
        <f t="shared" ref="G85" si="35">IF(F85="",H85,F85+H85)</f>
        <v>1.0416666666666666E-2</v>
      </c>
      <c r="H85" s="290">
        <v>1.0416666666666666E-2</v>
      </c>
      <c r="I85" s="282">
        <v>53</v>
      </c>
      <c r="K85" s="295" t="e">
        <f>HLOOKUP(K$78,'＜表示→コピペ＞活動計画まとめ'!$E$1:$I$202,$D84,FALSE)</f>
        <v>#N/A</v>
      </c>
      <c r="L85" s="297" t="e">
        <f>IF(HLOOKUP(K$78,'＜表示→コピペ＞活動計画まとめ'!$E$1:$I$202,$I84,FALSE)="","",TIME(22,15,0))</f>
        <v>#N/A</v>
      </c>
      <c r="M85" s="285" t="e">
        <f t="shared" si="31"/>
        <v>#N/A</v>
      </c>
      <c r="N85" s="290">
        <v>1.0416666666666666E-2</v>
      </c>
      <c r="P85" s="298"/>
      <c r="Q85" s="295" t="str">
        <f>HLOOKUP(Q$78,'＜表示→コピペ＞活動計画まとめ'!$E$1:$I$202,$D84,FALSE)</f>
        <v xml:space="preserve">飲料 </v>
      </c>
      <c r="R85" s="297" t="str">
        <f>IF(HLOOKUP(Q$78,'＜表示→コピペ＞活動計画まとめ'!$E$1:$I$202,$I84,FALSE)="","",TIME(22,15,0))</f>
        <v/>
      </c>
      <c r="S85" s="285">
        <f t="shared" si="32"/>
        <v>1.0416666666666666E-2</v>
      </c>
      <c r="T85" s="290">
        <v>1.0416666666666666E-2</v>
      </c>
      <c r="U85" s="284"/>
      <c r="W85" s="295" t="str">
        <f>HLOOKUP(W$78,'＜表示→コピペ＞活動計画まとめ'!$E$1:$I$202,$D84,FALSE)</f>
        <v xml:space="preserve">飲料 </v>
      </c>
      <c r="X85" s="297" t="str">
        <f>IF(HLOOKUP(W$78,'＜表示→コピペ＞活動計画まとめ'!$E$1:$I$202,$I84,FALSE)="","",TIME(22,15,0))</f>
        <v/>
      </c>
      <c r="Y85" s="285">
        <f t="shared" si="33"/>
        <v>1.0416666666666666E-2</v>
      </c>
      <c r="Z85" s="290">
        <v>1.0416666666666666E-2</v>
      </c>
      <c r="AA85" s="284"/>
      <c r="AC85" s="295" t="str">
        <f>HLOOKUP(AC$78,'＜表示→コピペ＞活動計画まとめ'!$E$1:$I$202,$D84,FALSE)</f>
        <v xml:space="preserve">飲料 </v>
      </c>
      <c r="AD85" s="297" t="str">
        <f>IF(HLOOKUP(AC$78,'＜表示→コピペ＞活動計画まとめ'!$E$1:$I$202,$I84,FALSE)="","",TIME(22,15,0))</f>
        <v/>
      </c>
      <c r="AE85" s="285">
        <f t="shared" si="34"/>
        <v>1.0416666666666666E-2</v>
      </c>
      <c r="AF85" s="290">
        <v>1.0416666666666666E-2</v>
      </c>
    </row>
    <row r="86" spans="1:32" s="282" customFormat="1" ht="28.5" customHeight="1">
      <c r="A86" s="898"/>
      <c r="B86" s="23" t="s">
        <v>301</v>
      </c>
      <c r="C86" s="216" t="s">
        <v>266</v>
      </c>
      <c r="D86" s="282">
        <v>11</v>
      </c>
      <c r="E86" s="309" t="str">
        <f>HLOOKUP(E$78,'＜表示→コピペ＞活動計画まとめ'!$E$1:$I$202,$D85,FALSE)</f>
        <v xml:space="preserve"> </v>
      </c>
      <c r="F86" s="310">
        <f>HLOOKUP(E$78,'＜表示→コピペ＞活動計画まとめ'!$E$1:$I$202,$I85,FALSE)</f>
        <v>0</v>
      </c>
      <c r="G86" s="311">
        <f>F124</f>
        <v>0</v>
      </c>
      <c r="H86" s="290"/>
      <c r="I86" s="282">
        <v>54</v>
      </c>
      <c r="K86" s="288" t="e">
        <f>HLOOKUP(K$78,'＜表示→コピペ＞活動計画まとめ'!$E$1:$I$202,$D85,FALSE)</f>
        <v>#N/A</v>
      </c>
      <c r="L86" s="289" t="e">
        <f>HLOOKUP(K$78,'＜表示→コピペ＞活動計画まとめ'!$E$1:$I$202,$I85,FALSE)</f>
        <v>#N/A</v>
      </c>
      <c r="M86" s="285" t="e">
        <f>L124</f>
        <v>#N/A</v>
      </c>
      <c r="N86" s="290"/>
      <c r="P86" s="298"/>
      <c r="Q86" s="288">
        <f>HLOOKUP(Q$78,'＜表示→コピペ＞活動計画まとめ'!$E$1:$I$202,$D85,FALSE)</f>
        <v>0</v>
      </c>
      <c r="R86" s="289">
        <f>HLOOKUP(Q$78,'＜表示→コピペ＞活動計画まとめ'!$E$1:$I$202,$I85,FALSE)</f>
        <v>0</v>
      </c>
      <c r="S86" s="285">
        <f>R124</f>
        <v>0</v>
      </c>
      <c r="T86" s="290"/>
      <c r="U86" s="284"/>
      <c r="W86" s="288">
        <f>HLOOKUP(W$78,'＜表示→コピペ＞活動計画まとめ'!$E$1:$I$202,$D85,FALSE)</f>
        <v>0</v>
      </c>
      <c r="X86" s="289">
        <f>HLOOKUP(W$78,'＜表示→コピペ＞活動計画まとめ'!$E$1:$I$202,$I85,FALSE)</f>
        <v>0</v>
      </c>
      <c r="Y86" s="285">
        <f>X124</f>
        <v>0</v>
      </c>
      <c r="Z86" s="290"/>
      <c r="AA86" s="284"/>
      <c r="AC86" s="288">
        <f>HLOOKUP(AC$78,'＜表示→コピペ＞活動計画まとめ'!$E$1:$I$202,$D85,FALSE)</f>
        <v>0</v>
      </c>
      <c r="AD86" s="289">
        <f>HLOOKUP(AC$78,'＜表示→コピペ＞活動計画まとめ'!$E$1:$I$202,$I85,FALSE)</f>
        <v>0</v>
      </c>
      <c r="AE86" s="285">
        <f>AD124</f>
        <v>0</v>
      </c>
      <c r="AF86" s="290"/>
    </row>
    <row r="87" spans="1:32" s="282" customFormat="1" ht="28.5" customHeight="1">
      <c r="A87" s="898"/>
      <c r="B87" s="861" t="s">
        <v>117</v>
      </c>
      <c r="C87" s="216" t="s">
        <v>62</v>
      </c>
      <c r="D87" s="282">
        <v>12</v>
      </c>
      <c r="E87" s="312" t="str">
        <f>HLOOKUP(E$78,'＜表示→コピペ＞活動計画まとめ'!$E$1:$I$202,$D86,FALSE)</f>
        <v>入所　　荷物置き場：必要なし</v>
      </c>
      <c r="F87" s="306">
        <f>HLOOKUP(E$78,'＜表示→コピペ＞活動計画まとめ'!$E$1:$I$202,$I86,FALSE)</f>
        <v>0</v>
      </c>
      <c r="G87" s="313">
        <f>IF(F87="",H87,F87+H87)</f>
        <v>1.0416666666666666E-2</v>
      </c>
      <c r="H87" s="290">
        <v>1.0416666666666666E-2</v>
      </c>
      <c r="I87" s="282">
        <v>55</v>
      </c>
      <c r="K87" s="292" t="e">
        <f>HLOOKUP(K$78,'＜表示→コピペ＞活動計画まとめ'!$E$1:$I$202,$D86,FALSE)</f>
        <v>#N/A</v>
      </c>
      <c r="L87" s="293" t="e">
        <f>HLOOKUP(K$78,'＜表示→コピペ＞活動計画まとめ'!$E$1:$I$202,$I86,FALSE)</f>
        <v>#N/A</v>
      </c>
      <c r="M87" s="285" t="e">
        <f>IF(L87="",N87,L87+N87)</f>
        <v>#N/A</v>
      </c>
      <c r="N87" s="290">
        <v>1.0416666666666666E-2</v>
      </c>
      <c r="P87" s="298"/>
      <c r="Q87" s="292">
        <f>HLOOKUP(Q$78,'＜表示→コピペ＞活動計画まとめ'!$E$1:$I$202,$D86,FALSE)</f>
        <v>0</v>
      </c>
      <c r="R87" s="293">
        <f>HLOOKUP(Q$78,'＜表示→コピペ＞活動計画まとめ'!$E$1:$I$202,$I86,FALSE)</f>
        <v>0</v>
      </c>
      <c r="S87" s="285">
        <f>IF(R87="",T87,R87+T87)</f>
        <v>1.0416666666666666E-2</v>
      </c>
      <c r="T87" s="290">
        <v>1.0416666666666666E-2</v>
      </c>
      <c r="U87" s="284"/>
      <c r="W87" s="292">
        <f>HLOOKUP(W$78,'＜表示→コピペ＞活動計画まとめ'!$E$1:$I$202,$D86,FALSE)</f>
        <v>0</v>
      </c>
      <c r="X87" s="293">
        <f>HLOOKUP(W$78,'＜表示→コピペ＞活動計画まとめ'!$E$1:$I$202,$I86,FALSE)</f>
        <v>0</v>
      </c>
      <c r="Y87" s="285">
        <f>IF(X87="",Z87,X87+Z87)</f>
        <v>1.0416666666666666E-2</v>
      </c>
      <c r="Z87" s="290">
        <v>1.0416666666666666E-2</v>
      </c>
      <c r="AA87" s="284"/>
      <c r="AC87" s="292">
        <f>HLOOKUP(AC$78,'＜表示→コピペ＞活動計画まとめ'!$E$1:$I$202,$D86,FALSE)</f>
        <v>0</v>
      </c>
      <c r="AD87" s="293">
        <f>HLOOKUP(AC$78,'＜表示→コピペ＞活動計画まとめ'!$E$1:$I$202,$I86,FALSE)</f>
        <v>0</v>
      </c>
      <c r="AE87" s="285">
        <f>IF(AD87="",AF87,AD87+AF87)</f>
        <v>1.0416666666666666E-2</v>
      </c>
      <c r="AF87" s="290">
        <v>1.0416666666666666E-2</v>
      </c>
    </row>
    <row r="88" spans="1:32" s="282" customFormat="1" ht="28.5" customHeight="1">
      <c r="A88" s="898"/>
      <c r="B88" s="861"/>
      <c r="C88" s="216" t="s">
        <v>0</v>
      </c>
      <c r="D88" s="282">
        <v>13</v>
      </c>
      <c r="E88" s="317" t="str">
        <f>HLOOKUP(E$78,'＜表示→コピペ＞活動計画まとめ'!$E$1:$I$202,$D87,FALSE)</f>
        <v>入所式 : なし　　入室</v>
      </c>
      <c r="F88" s="306">
        <f>HLOOKUP(E$78,'＜表示→コピペ＞活動計画まとめ'!$E$1:$I$202,$I87,FALSE)</f>
        <v>0</v>
      </c>
      <c r="G88" s="313">
        <f>F88+H88</f>
        <v>1.0416666666666666E-2</v>
      </c>
      <c r="H88" s="290">
        <v>1.0416666666666666E-2</v>
      </c>
      <c r="I88" s="282">
        <v>56</v>
      </c>
      <c r="K88" s="292" t="e">
        <f>HLOOKUP(K$78,'＜表示→コピペ＞活動計画まとめ'!$E$1:$I$202,$D87,FALSE)</f>
        <v>#N/A</v>
      </c>
      <c r="L88" s="293" t="e">
        <f>HLOOKUP(K$78,'＜表示→コピペ＞活動計画まとめ'!$E$1:$I$202,$I87,FALSE)</f>
        <v>#N/A</v>
      </c>
      <c r="M88" s="285" t="e">
        <f>L88+N88</f>
        <v>#N/A</v>
      </c>
      <c r="N88" s="290">
        <v>1.0416666666666666E-2</v>
      </c>
      <c r="P88" s="298"/>
      <c r="Q88" s="292">
        <f>HLOOKUP(Q$78,'＜表示→コピペ＞活動計画まとめ'!$E$1:$I$202,$D87,FALSE)</f>
        <v>0</v>
      </c>
      <c r="R88" s="293">
        <f>HLOOKUP(Q$78,'＜表示→コピペ＞活動計画まとめ'!$E$1:$I$202,$I87,FALSE)</f>
        <v>0</v>
      </c>
      <c r="S88" s="285">
        <f>R88+T88</f>
        <v>1.0416666666666666E-2</v>
      </c>
      <c r="T88" s="290">
        <v>1.0416666666666666E-2</v>
      </c>
      <c r="U88" s="284"/>
      <c r="W88" s="292">
        <f>HLOOKUP(W$78,'＜表示→コピペ＞活動計画まとめ'!$E$1:$I$202,$D87,FALSE)</f>
        <v>0</v>
      </c>
      <c r="X88" s="293">
        <f>HLOOKUP(W$78,'＜表示→コピペ＞活動計画まとめ'!$E$1:$I$202,$I87,FALSE)</f>
        <v>0</v>
      </c>
      <c r="Y88" s="285">
        <f>X88+Z88</f>
        <v>1.0416666666666666E-2</v>
      </c>
      <c r="Z88" s="290">
        <v>1.0416666666666666E-2</v>
      </c>
      <c r="AA88" s="284"/>
      <c r="AC88" s="292">
        <f>HLOOKUP(AC$78,'＜表示→コピペ＞活動計画まとめ'!$E$1:$I$202,$D87,FALSE)</f>
        <v>0</v>
      </c>
      <c r="AD88" s="293">
        <f>HLOOKUP(AC$78,'＜表示→コピペ＞活動計画まとめ'!$E$1:$I$202,$I87,FALSE)</f>
        <v>0</v>
      </c>
      <c r="AE88" s="285">
        <f>AD88+AF88</f>
        <v>1.0416666666666666E-2</v>
      </c>
      <c r="AF88" s="290">
        <v>1.0416666666666666E-2</v>
      </c>
    </row>
    <row r="89" spans="1:32" s="282" customFormat="1" ht="28.5" customHeight="1" thickBot="1">
      <c r="A89" s="898"/>
      <c r="B89" s="861"/>
      <c r="C89" s="222" t="s">
        <v>312</v>
      </c>
      <c r="D89" s="282">
        <v>14</v>
      </c>
      <c r="E89" s="317" t="str">
        <f>HLOOKUP(E$78,'＜表示→コピペ＞活動計画まとめ'!$E$1:$I$202,$D88,FALSE)</f>
        <v/>
      </c>
      <c r="F89" s="306">
        <f>HLOOKUP(E$78,'＜表示→コピペ＞活動計画まとめ'!$E$1:$I$202,$I88,FALSE)</f>
        <v>0.25</v>
      </c>
      <c r="G89" s="313">
        <f>F89+H89</f>
        <v>0.26041666666666669</v>
      </c>
      <c r="H89" s="290">
        <v>1.0416666666666666E-2</v>
      </c>
      <c r="I89" s="282">
        <v>57</v>
      </c>
      <c r="K89" s="292" t="e">
        <f>HLOOKUP(K$78,'＜表示→コピペ＞活動計画まとめ'!$E$1:$I$202,$D88,FALSE)</f>
        <v>#N/A</v>
      </c>
      <c r="L89" s="296" t="e">
        <f>HLOOKUP(K$78,'＜表示→コピペ＞活動計画まとめ'!$E$1:$I$202,$I88,FALSE)</f>
        <v>#N/A</v>
      </c>
      <c r="M89" s="285" t="e">
        <f>L89+N89</f>
        <v>#N/A</v>
      </c>
      <c r="N89" s="290">
        <v>1.0416666666666666E-2</v>
      </c>
      <c r="P89" s="298"/>
      <c r="Q89" s="292">
        <f>HLOOKUP(Q$78,'＜表示→コピペ＞活動計画まとめ'!$E$1:$I$202,$D88,FALSE)</f>
        <v>0</v>
      </c>
      <c r="R89" s="296">
        <f>HLOOKUP(Q$78,'＜表示→コピペ＞活動計画まとめ'!$E$1:$I$202,$I88,FALSE)</f>
        <v>0</v>
      </c>
      <c r="S89" s="285">
        <f>R89+T89</f>
        <v>1.0416666666666666E-2</v>
      </c>
      <c r="T89" s="290">
        <v>1.0416666666666666E-2</v>
      </c>
      <c r="U89" s="284"/>
      <c r="W89" s="292">
        <f>HLOOKUP(W$78,'＜表示→コピペ＞活動計画まとめ'!$E$1:$I$202,$D88,FALSE)</f>
        <v>0</v>
      </c>
      <c r="X89" s="296">
        <f>HLOOKUP(W$78,'＜表示→コピペ＞活動計画まとめ'!$E$1:$I$202,$I88,FALSE)</f>
        <v>0</v>
      </c>
      <c r="Y89" s="285">
        <f>X89+Z89</f>
        <v>1.0416666666666666E-2</v>
      </c>
      <c r="Z89" s="290">
        <v>1.0416666666666666E-2</v>
      </c>
      <c r="AA89" s="284"/>
      <c r="AC89" s="292">
        <f>HLOOKUP(AC$78,'＜表示→コピペ＞活動計画まとめ'!$E$1:$I$202,$D88,FALSE)</f>
        <v>0</v>
      </c>
      <c r="AD89" s="296">
        <f>HLOOKUP(AC$78,'＜表示→コピペ＞活動計画まとめ'!$E$1:$I$202,$I88,FALSE)</f>
        <v>0</v>
      </c>
      <c r="AE89" s="285">
        <f>AD89+AF89</f>
        <v>1.0416666666666666E-2</v>
      </c>
      <c r="AF89" s="290">
        <v>1.0416666666666666E-2</v>
      </c>
    </row>
    <row r="90" spans="1:32" s="282" customFormat="1" ht="28.5" customHeight="1">
      <c r="A90" s="898"/>
      <c r="B90" s="861" t="s">
        <v>118</v>
      </c>
      <c r="C90" s="216" t="s">
        <v>76</v>
      </c>
      <c r="D90" s="282">
        <v>15</v>
      </c>
      <c r="E90" s="312">
        <f>HLOOKUP(E$78,'＜表示→コピペ＞活動計画まとめ'!$E$1:$I$202,$D89,FALSE)</f>
        <v>0</v>
      </c>
      <c r="F90" s="306">
        <f>HLOOKUP(E$78,'＜表示→コピペ＞活動計画まとめ'!$E$1:$I$202,$I89,FALSE)</f>
        <v>0</v>
      </c>
      <c r="G90" s="313">
        <f>IF(F90="",H90,F90+H90)</f>
        <v>1.0416666666666666E-2</v>
      </c>
      <c r="H90" s="290">
        <v>1.0416666666666666E-2</v>
      </c>
      <c r="I90" s="282">
        <v>58</v>
      </c>
      <c r="K90" s="292" t="e">
        <f>HLOOKUP(K$78,'＜表示→コピペ＞活動計画まとめ'!$E$1:$I$202,$D89,FALSE)</f>
        <v>#N/A</v>
      </c>
      <c r="L90" s="289" t="e">
        <f>HLOOKUP(K$78,'＜表示→コピペ＞活動計画まとめ'!$E$1:$I$202,$I89,FALSE)</f>
        <v>#N/A</v>
      </c>
      <c r="M90" s="285" t="e">
        <f>IF(L90="",N90,L90+N90)</f>
        <v>#N/A</v>
      </c>
      <c r="N90" s="290">
        <v>1.0416666666666666E-2</v>
      </c>
      <c r="P90" s="298"/>
      <c r="Q90" s="292">
        <f>HLOOKUP(Q$78,'＜表示→コピペ＞活動計画まとめ'!$E$1:$I$202,$D89,FALSE)</f>
        <v>0</v>
      </c>
      <c r="R90" s="289">
        <f>HLOOKUP(Q$78,'＜表示→コピペ＞活動計画まとめ'!$E$1:$I$202,$I89,FALSE)</f>
        <v>0</v>
      </c>
      <c r="S90" s="285">
        <f>IF(R90="",T90,R90+T90)</f>
        <v>1.0416666666666666E-2</v>
      </c>
      <c r="T90" s="290">
        <v>1.0416666666666666E-2</v>
      </c>
      <c r="U90" s="284"/>
      <c r="W90" s="292">
        <f>HLOOKUP(W$78,'＜表示→コピペ＞活動計画まとめ'!$E$1:$I$202,$D89,FALSE)</f>
        <v>0</v>
      </c>
      <c r="X90" s="289">
        <f>HLOOKUP(W$78,'＜表示→コピペ＞活動計画まとめ'!$E$1:$I$202,$I89,FALSE)</f>
        <v>0</v>
      </c>
      <c r="Y90" s="285">
        <f>IF(X90="",Z90,X90+Z90)</f>
        <v>1.0416666666666666E-2</v>
      </c>
      <c r="Z90" s="290">
        <v>1.0416666666666666E-2</v>
      </c>
      <c r="AA90" s="284"/>
      <c r="AC90" s="292">
        <f>HLOOKUP(AC$78,'＜表示→コピペ＞活動計画まとめ'!$E$1:$I$202,$D89,FALSE)</f>
        <v>0</v>
      </c>
      <c r="AD90" s="289">
        <f>HLOOKUP(AC$78,'＜表示→コピペ＞活動計画まとめ'!$E$1:$I$202,$I89,FALSE)</f>
        <v>0</v>
      </c>
      <c r="AE90" s="285">
        <f>IF(AD90="",AF90,AD90+AF90)</f>
        <v>1.0416666666666666E-2</v>
      </c>
      <c r="AF90" s="290">
        <v>1.0416666666666666E-2</v>
      </c>
    </row>
    <row r="91" spans="1:32" s="282" customFormat="1" ht="28.5" customHeight="1">
      <c r="A91" s="898"/>
      <c r="B91" s="861"/>
      <c r="C91" s="228" t="s">
        <v>316</v>
      </c>
      <c r="D91" s="282">
        <v>16</v>
      </c>
      <c r="E91" s="312">
        <f>HLOOKUP(E$78,'＜表示→コピペ＞活動計画まとめ'!$E$1:$I$202,$D90,FALSE)</f>
        <v>0</v>
      </c>
      <c r="F91" s="306">
        <f>HLOOKUP(E$78,'＜表示→コピペ＞活動計画まとめ'!$E$1:$I$202,$I90,FALSE)</f>
        <v>0</v>
      </c>
      <c r="G91" s="313">
        <f t="shared" si="30"/>
        <v>1.0416666666666666E-2</v>
      </c>
      <c r="H91" s="290">
        <v>1.0416666666666666E-2</v>
      </c>
      <c r="I91" s="282">
        <v>59</v>
      </c>
      <c r="K91" s="292" t="e">
        <f>HLOOKUP(K$78,'＜表示→コピペ＞活動計画まとめ'!$E$1:$I$202,$D90,FALSE)</f>
        <v>#N/A</v>
      </c>
      <c r="L91" s="293" t="e">
        <f>HLOOKUP(K$78,'＜表示→コピペ＞活動計画まとめ'!$E$1:$I$202,$I90,FALSE)</f>
        <v>#N/A</v>
      </c>
      <c r="M91" s="285" t="e">
        <f t="shared" si="31"/>
        <v>#N/A</v>
      </c>
      <c r="N91" s="290">
        <v>1.0416666666666666E-2</v>
      </c>
      <c r="P91" s="298"/>
      <c r="Q91" s="292">
        <f>HLOOKUP(Q$78,'＜表示→コピペ＞活動計画まとめ'!$E$1:$I$202,$D90,FALSE)</f>
        <v>0</v>
      </c>
      <c r="R91" s="293">
        <f>HLOOKUP(Q$78,'＜表示→コピペ＞活動計画まとめ'!$E$1:$I$202,$I90,FALSE)</f>
        <v>0</v>
      </c>
      <c r="S91" s="285">
        <f t="shared" si="32"/>
        <v>1.0416666666666666E-2</v>
      </c>
      <c r="T91" s="290">
        <v>1.0416666666666666E-2</v>
      </c>
      <c r="U91" s="284"/>
      <c r="W91" s="292">
        <f>HLOOKUP(W$78,'＜表示→コピペ＞活動計画まとめ'!$E$1:$I$202,$D90,FALSE)</f>
        <v>0</v>
      </c>
      <c r="X91" s="293">
        <f>HLOOKUP(W$78,'＜表示→コピペ＞活動計画まとめ'!$E$1:$I$202,$I90,FALSE)</f>
        <v>0</v>
      </c>
      <c r="Y91" s="285">
        <f t="shared" si="33"/>
        <v>1.0416666666666666E-2</v>
      </c>
      <c r="Z91" s="290">
        <v>1.0416666666666666E-2</v>
      </c>
      <c r="AA91" s="284"/>
      <c r="AC91" s="292">
        <f>HLOOKUP(AC$78,'＜表示→コピペ＞活動計画まとめ'!$E$1:$I$202,$D90,FALSE)</f>
        <v>0</v>
      </c>
      <c r="AD91" s="293">
        <f>HLOOKUP(AC$78,'＜表示→コピペ＞活動計画まとめ'!$E$1:$I$202,$I90,FALSE)</f>
        <v>0</v>
      </c>
      <c r="AE91" s="285">
        <f t="shared" si="34"/>
        <v>1.0416666666666666E-2</v>
      </c>
      <c r="AF91" s="290">
        <v>1.0416666666666666E-2</v>
      </c>
    </row>
    <row r="92" spans="1:32" s="282" customFormat="1" ht="28.5" customHeight="1">
      <c r="A92" s="898"/>
      <c r="B92" s="861"/>
      <c r="C92" s="216" t="s">
        <v>1</v>
      </c>
      <c r="D92" s="282">
        <v>17</v>
      </c>
      <c r="E92" s="312">
        <f>HLOOKUP(E$78,'＜表示→コピペ＞活動計画まとめ'!$E$1:$I$202,$D91,FALSE)</f>
        <v>0</v>
      </c>
      <c r="F92" s="306">
        <f>HLOOKUP(E$78,'＜表示→コピペ＞活動計画まとめ'!$E$1:$I$202,$I91,FALSE)</f>
        <v>0</v>
      </c>
      <c r="G92" s="313">
        <f t="shared" si="30"/>
        <v>1.0416666666666666E-2</v>
      </c>
      <c r="H92" s="290">
        <v>1.0416666666666666E-2</v>
      </c>
      <c r="I92" s="282">
        <v>60</v>
      </c>
      <c r="K92" s="292" t="e">
        <f>HLOOKUP(K$78,'＜表示→コピペ＞活動計画まとめ'!$E$1:$I$202,$D91,FALSE)</f>
        <v>#N/A</v>
      </c>
      <c r="L92" s="293" t="e">
        <f>HLOOKUP(K$78,'＜表示→コピペ＞活動計画まとめ'!$E$1:$I$202,$I91,FALSE)</f>
        <v>#N/A</v>
      </c>
      <c r="M92" s="285" t="e">
        <f t="shared" si="31"/>
        <v>#N/A</v>
      </c>
      <c r="N92" s="290">
        <v>1.0416666666666666E-2</v>
      </c>
      <c r="P92" s="298"/>
      <c r="Q92" s="292">
        <f>HLOOKUP(Q$78,'＜表示→コピペ＞活動計画まとめ'!$E$1:$I$202,$D91,FALSE)</f>
        <v>0</v>
      </c>
      <c r="R92" s="293">
        <f>HLOOKUP(Q$78,'＜表示→コピペ＞活動計画まとめ'!$E$1:$I$202,$I91,FALSE)</f>
        <v>0</v>
      </c>
      <c r="S92" s="285">
        <f t="shared" si="32"/>
        <v>1.0416666666666666E-2</v>
      </c>
      <c r="T92" s="290">
        <v>1.0416666666666666E-2</v>
      </c>
      <c r="U92" s="284"/>
      <c r="W92" s="292">
        <f>HLOOKUP(W$78,'＜表示→コピペ＞活動計画まとめ'!$E$1:$I$202,$D91,FALSE)</f>
        <v>0</v>
      </c>
      <c r="X92" s="293">
        <f>HLOOKUP(W$78,'＜表示→コピペ＞活動計画まとめ'!$E$1:$I$202,$I91,FALSE)</f>
        <v>0</v>
      </c>
      <c r="Y92" s="285">
        <f t="shared" si="33"/>
        <v>1.0416666666666666E-2</v>
      </c>
      <c r="Z92" s="290">
        <v>1.0416666666666666E-2</v>
      </c>
      <c r="AA92" s="284"/>
      <c r="AC92" s="292">
        <f>HLOOKUP(AC$78,'＜表示→コピペ＞活動計画まとめ'!$E$1:$I$202,$D91,FALSE)</f>
        <v>0</v>
      </c>
      <c r="AD92" s="293">
        <f>HLOOKUP(AC$78,'＜表示→コピペ＞活動計画まとめ'!$E$1:$I$202,$I91,FALSE)</f>
        <v>0</v>
      </c>
      <c r="AE92" s="285">
        <f t="shared" si="34"/>
        <v>1.0416666666666666E-2</v>
      </c>
      <c r="AF92" s="290">
        <v>1.0416666666666666E-2</v>
      </c>
    </row>
    <row r="93" spans="1:32" s="282" customFormat="1" ht="28.5" customHeight="1" thickBot="1">
      <c r="A93" s="898"/>
      <c r="B93" s="23" t="s">
        <v>302</v>
      </c>
      <c r="C93" s="216" t="s">
        <v>318</v>
      </c>
      <c r="D93" s="282">
        <v>18</v>
      </c>
      <c r="E93" s="314">
        <f>HLOOKUP(E$78,'＜表示→コピペ＞活動計画まとめ'!$E$1:$I$202,$D92,FALSE)</f>
        <v>0</v>
      </c>
      <c r="F93" s="315">
        <f>HLOOKUP(E$78,'＜表示→コピペ＞活動計画まとめ'!$E$1:$I$202,$I92,FALSE)</f>
        <v>0</v>
      </c>
      <c r="G93" s="316">
        <f t="shared" si="30"/>
        <v>2.0833333333333332E-2</v>
      </c>
      <c r="H93" s="290">
        <v>2.0833333333333332E-2</v>
      </c>
      <c r="I93" s="282">
        <v>61</v>
      </c>
      <c r="K93" s="295" t="e">
        <f>HLOOKUP(K$78,'＜表示→コピペ＞活動計画まとめ'!$E$1:$I$202,$D92,FALSE)</f>
        <v>#N/A</v>
      </c>
      <c r="L93" s="296" t="e">
        <f>HLOOKUP(K$78,'＜表示→コピペ＞活動計画まとめ'!$E$1:$I$202,$I92,FALSE)</f>
        <v>#N/A</v>
      </c>
      <c r="M93" s="285" t="e">
        <f t="shared" si="31"/>
        <v>#N/A</v>
      </c>
      <c r="N93" s="290">
        <v>2.0833333333333332E-2</v>
      </c>
      <c r="P93" s="298"/>
      <c r="Q93" s="295">
        <f>HLOOKUP(Q$78,'＜表示→コピペ＞活動計画まとめ'!$E$1:$I$202,$D92,FALSE)</f>
        <v>0</v>
      </c>
      <c r="R93" s="296">
        <f>HLOOKUP(Q$78,'＜表示→コピペ＞活動計画まとめ'!$E$1:$I$202,$I92,FALSE)</f>
        <v>0</v>
      </c>
      <c r="S93" s="285">
        <f t="shared" si="32"/>
        <v>2.0833333333333332E-2</v>
      </c>
      <c r="T93" s="290">
        <v>2.0833333333333332E-2</v>
      </c>
      <c r="U93" s="284"/>
      <c r="W93" s="295">
        <f>HLOOKUP(W$78,'＜表示→コピペ＞活動計画まとめ'!$E$1:$I$202,$D92,FALSE)</f>
        <v>0</v>
      </c>
      <c r="X93" s="296">
        <f>HLOOKUP(W$78,'＜表示→コピペ＞活動計画まとめ'!$E$1:$I$202,$I92,FALSE)</f>
        <v>0</v>
      </c>
      <c r="Y93" s="285">
        <f t="shared" si="33"/>
        <v>2.0833333333333332E-2</v>
      </c>
      <c r="Z93" s="290">
        <v>2.0833333333333332E-2</v>
      </c>
      <c r="AA93" s="284"/>
      <c r="AC93" s="295">
        <f>HLOOKUP(AC$78,'＜表示→コピペ＞活動計画まとめ'!$E$1:$I$202,$D92,FALSE)</f>
        <v>0</v>
      </c>
      <c r="AD93" s="296">
        <f>HLOOKUP(AC$78,'＜表示→コピペ＞活動計画まとめ'!$E$1:$I$202,$I92,FALSE)</f>
        <v>0</v>
      </c>
      <c r="AE93" s="285">
        <f t="shared" si="34"/>
        <v>2.0833333333333332E-2</v>
      </c>
      <c r="AF93" s="290">
        <v>2.0833333333333332E-2</v>
      </c>
    </row>
    <row r="94" spans="1:32" s="282" customFormat="1" ht="28.5" customHeight="1">
      <c r="A94" s="898"/>
      <c r="B94" s="23" t="s">
        <v>115</v>
      </c>
      <c r="C94" s="216" t="s">
        <v>61</v>
      </c>
      <c r="D94" s="282">
        <v>19</v>
      </c>
      <c r="E94" s="309" t="str">
        <f>HLOOKUP(E$78,'＜表示→コピペ＞活動計画まとめ'!$E$1:$I$202,$D93,FALSE)</f>
        <v xml:space="preserve">集会・会議  </v>
      </c>
      <c r="F94" s="310">
        <f>HLOOKUP(E$78,'＜表示→コピペ＞活動計画まとめ'!$E$1:$I$202,$I93,FALSE)</f>
        <v>0</v>
      </c>
      <c r="G94" s="311">
        <f>IF(F94="",H94,F94+H94)</f>
        <v>1.0416666666666666E-2</v>
      </c>
      <c r="H94" s="290">
        <v>1.0416666666666666E-2</v>
      </c>
      <c r="I94" s="282">
        <v>62</v>
      </c>
      <c r="K94" s="288" t="e">
        <f>HLOOKUP(K$78,'＜表示→コピペ＞活動計画まとめ'!$E$1:$I$202,$D93,FALSE)</f>
        <v>#N/A</v>
      </c>
      <c r="L94" s="289" t="e">
        <f>HLOOKUP(K$78,'＜表示→コピペ＞活動計画まとめ'!$E$1:$I$202,$I93,FALSE)</f>
        <v>#N/A</v>
      </c>
      <c r="M94" s="285" t="e">
        <f>IF(L94="",N94,L94+N94)</f>
        <v>#N/A</v>
      </c>
      <c r="N94" s="290">
        <v>1.0416666666666666E-2</v>
      </c>
      <c r="P94" s="298"/>
      <c r="Q94" s="288" t="str">
        <f>HLOOKUP(Q$78,'＜表示→コピペ＞活動計画まとめ'!$E$1:$I$202,$D93,FALSE)</f>
        <v xml:space="preserve">集会・会議  </v>
      </c>
      <c r="R94" s="289">
        <f>HLOOKUP(Q$78,'＜表示→コピペ＞活動計画まとめ'!$E$1:$I$202,$I93,FALSE)</f>
        <v>0</v>
      </c>
      <c r="S94" s="285">
        <f>IF(R94="",T94,R94+T94)</f>
        <v>1.0416666666666666E-2</v>
      </c>
      <c r="T94" s="290">
        <v>1.0416666666666666E-2</v>
      </c>
      <c r="U94" s="284"/>
      <c r="W94" s="288" t="str">
        <f>HLOOKUP(W$78,'＜表示→コピペ＞活動計画まとめ'!$E$1:$I$202,$D93,FALSE)</f>
        <v xml:space="preserve">集会・会議  </v>
      </c>
      <c r="X94" s="289">
        <f>HLOOKUP(W$78,'＜表示→コピペ＞活動計画まとめ'!$E$1:$I$202,$I93,FALSE)</f>
        <v>0</v>
      </c>
      <c r="Y94" s="285">
        <f>IF(X94="",Z94,X94+Z94)</f>
        <v>1.0416666666666666E-2</v>
      </c>
      <c r="Z94" s="290">
        <v>1.0416666666666666E-2</v>
      </c>
      <c r="AA94" s="284"/>
      <c r="AC94" s="288" t="str">
        <f>HLOOKUP(AC$78,'＜表示→コピペ＞活動計画まとめ'!$E$1:$I$202,$D93,FALSE)</f>
        <v xml:space="preserve">集会・会議  </v>
      </c>
      <c r="AD94" s="289">
        <f>HLOOKUP(AC$78,'＜表示→コピペ＞活動計画まとめ'!$E$1:$I$202,$I93,FALSE)</f>
        <v>0</v>
      </c>
      <c r="AE94" s="285">
        <f>IF(AD94="",AF94,AD94+AF94)</f>
        <v>1.0416666666666666E-2</v>
      </c>
      <c r="AF94" s="290">
        <v>1.0416666666666666E-2</v>
      </c>
    </row>
    <row r="95" spans="1:32" s="282" customFormat="1" ht="28.5" customHeight="1">
      <c r="A95" s="898"/>
      <c r="B95" s="227" t="s">
        <v>55</v>
      </c>
      <c r="C95" s="216" t="s">
        <v>313</v>
      </c>
      <c r="D95" s="282">
        <v>20</v>
      </c>
      <c r="E95" s="312" t="str">
        <f>HLOOKUP(E$78,'＜表示→コピペ＞活動計画まとめ'!$E$1:$I$202,$D94,FALSE)</f>
        <v>入浴　</v>
      </c>
      <c r="F95" s="306">
        <f>HLOOKUP(E$78,'＜表示→コピペ＞活動計画まとめ'!$E$1:$I$202,$I94,FALSE)</f>
        <v>0</v>
      </c>
      <c r="G95" s="313">
        <f>IF(F125=0,F95+H95,F125)</f>
        <v>8.3333333333333329E-2</v>
      </c>
      <c r="H95" s="290">
        <v>8.3333333333333329E-2</v>
      </c>
      <c r="I95" s="282">
        <v>63</v>
      </c>
      <c r="K95" s="292" t="e">
        <f>HLOOKUP(K$78,'＜表示→コピペ＞活動計画まとめ'!$E$1:$I$202,$D94,FALSE)</f>
        <v>#N/A</v>
      </c>
      <c r="L95" s="293" t="e">
        <f>HLOOKUP(K$78,'＜表示→コピペ＞活動計画まとめ'!$E$1:$I$202,$I94,FALSE)</f>
        <v>#N/A</v>
      </c>
      <c r="M95" s="285" t="e">
        <f>IF(L125=0,L95+N95,L125)</f>
        <v>#N/A</v>
      </c>
      <c r="N95" s="290">
        <v>8.3333333333333329E-2</v>
      </c>
      <c r="P95" s="298"/>
      <c r="Q95" s="292" t="str">
        <f>HLOOKUP(Q$78,'＜表示→コピペ＞活動計画まとめ'!$E$1:$I$202,$D94,FALSE)</f>
        <v>入浴　</v>
      </c>
      <c r="R95" s="293">
        <f>HLOOKUP(Q$78,'＜表示→コピペ＞活動計画まとめ'!$E$1:$I$202,$I94,FALSE)</f>
        <v>0</v>
      </c>
      <c r="S95" s="285">
        <f>IF(R125=0,R95+T95,R125)</f>
        <v>8.3333333333333329E-2</v>
      </c>
      <c r="T95" s="290">
        <v>8.3333333333333329E-2</v>
      </c>
      <c r="U95" s="284"/>
      <c r="W95" s="292" t="str">
        <f>HLOOKUP(W$78,'＜表示→コピペ＞活動計画まとめ'!$E$1:$I$202,$D94,FALSE)</f>
        <v>入浴　</v>
      </c>
      <c r="X95" s="293">
        <f>HLOOKUP(W$78,'＜表示→コピペ＞活動計画まとめ'!$E$1:$I$202,$I94,FALSE)</f>
        <v>0</v>
      </c>
      <c r="Y95" s="285">
        <f>IF(X125=0,X95+Z95,X125)</f>
        <v>8.3333333333333329E-2</v>
      </c>
      <c r="Z95" s="290">
        <v>8.3333333333333329E-2</v>
      </c>
      <c r="AA95" s="284"/>
      <c r="AC95" s="292" t="str">
        <f>HLOOKUP(AC$78,'＜表示→コピペ＞活動計画まとめ'!$E$1:$I$202,$D94,FALSE)</f>
        <v>入浴　</v>
      </c>
      <c r="AD95" s="293">
        <f>HLOOKUP(AC$78,'＜表示→コピペ＞活動計画まとめ'!$E$1:$I$202,$I94,FALSE)</f>
        <v>0</v>
      </c>
      <c r="AE95" s="285">
        <f>IF(AD125=0,AD95+AF95,AD125)</f>
        <v>8.3333333333333329E-2</v>
      </c>
      <c r="AF95" s="290">
        <v>8.3333333333333329E-2</v>
      </c>
    </row>
    <row r="96" spans="1:32" s="282" customFormat="1" ht="28.5" customHeight="1">
      <c r="A96" s="898"/>
      <c r="B96" s="861" t="s">
        <v>308</v>
      </c>
      <c r="C96" s="216" t="s">
        <v>75</v>
      </c>
      <c r="D96" s="282">
        <v>21</v>
      </c>
      <c r="E96" s="312">
        <f>HLOOKUP(E$78,'＜表示→コピペ＞活動計画まとめ'!$E$1:$I$202,$D95,FALSE)</f>
        <v>0</v>
      </c>
      <c r="F96" s="306">
        <f>HLOOKUP(E$78,'＜表示→コピペ＞活動計画まとめ'!$E$1:$I$202,$I95,FALSE)</f>
        <v>0</v>
      </c>
      <c r="G96" s="313">
        <f t="shared" si="30"/>
        <v>1.0416666666666666E-2</v>
      </c>
      <c r="H96" s="290">
        <v>1.0416666666666666E-2</v>
      </c>
      <c r="I96" s="282">
        <v>64</v>
      </c>
      <c r="K96" s="292" t="e">
        <f>HLOOKUP(K$78,'＜表示→コピペ＞活動計画まとめ'!$E$1:$I$202,$D95,FALSE)</f>
        <v>#N/A</v>
      </c>
      <c r="L96" s="293" t="e">
        <f>HLOOKUP(K$78,'＜表示→コピペ＞活動計画まとめ'!$E$1:$I$202,$I95,FALSE)</f>
        <v>#N/A</v>
      </c>
      <c r="M96" s="285" t="e">
        <f t="shared" si="31"/>
        <v>#N/A</v>
      </c>
      <c r="N96" s="290">
        <v>1.0416666666666666E-2</v>
      </c>
      <c r="P96" s="298"/>
      <c r="Q96" s="292" t="str">
        <f>HLOOKUP(Q$78,'＜表示→コピペ＞活動計画まとめ'!$E$1:$I$202,$D95,FALSE)</f>
        <v>起床</v>
      </c>
      <c r="R96" s="293">
        <f>HLOOKUP(Q$78,'＜表示→コピペ＞活動計画まとめ'!$E$1:$I$202,$I95,FALSE)</f>
        <v>0.25</v>
      </c>
      <c r="S96" s="285">
        <f t="shared" si="32"/>
        <v>0.26041666666666669</v>
      </c>
      <c r="T96" s="290">
        <v>1.0416666666666666E-2</v>
      </c>
      <c r="U96" s="284"/>
      <c r="W96" s="292" t="str">
        <f>HLOOKUP(W$78,'＜表示→コピペ＞活動計画まとめ'!$E$1:$I$202,$D95,FALSE)</f>
        <v>起床</v>
      </c>
      <c r="X96" s="293">
        <f>HLOOKUP(W$78,'＜表示→コピペ＞活動計画まとめ'!$E$1:$I$202,$I95,FALSE)</f>
        <v>0.25</v>
      </c>
      <c r="Y96" s="285">
        <f t="shared" si="33"/>
        <v>0.26041666666666669</v>
      </c>
      <c r="Z96" s="290">
        <v>1.0416666666666666E-2</v>
      </c>
      <c r="AA96" s="284"/>
      <c r="AC96" s="292" t="str">
        <f>HLOOKUP(AC$78,'＜表示→コピペ＞活動計画まとめ'!$E$1:$I$202,$D95,FALSE)</f>
        <v>起床</v>
      </c>
      <c r="AD96" s="293">
        <f>HLOOKUP(AC$78,'＜表示→コピペ＞活動計画まとめ'!$E$1:$I$202,$I95,FALSE)</f>
        <v>0.25</v>
      </c>
      <c r="AE96" s="285">
        <f t="shared" si="34"/>
        <v>0.26041666666666669</v>
      </c>
      <c r="AF96" s="290">
        <v>1.0416666666666666E-2</v>
      </c>
    </row>
    <row r="97" spans="1:32" s="282" customFormat="1" ht="28.5" customHeight="1" thickBot="1">
      <c r="A97" s="898"/>
      <c r="B97" s="861"/>
      <c r="C97" s="216" t="s">
        <v>74</v>
      </c>
      <c r="D97" s="282">
        <v>22</v>
      </c>
      <c r="E97" s="314" t="str">
        <f>HLOOKUP(E$78,'＜表示→コピペ＞活動計画まとめ'!$E$1:$I$202,$D96,FALSE)</f>
        <v>消灯</v>
      </c>
      <c r="F97" s="315">
        <f>HLOOKUP(E$78,'＜表示→コピペ＞活動計画まとめ'!$E$1:$I$202,$I96,FALSE)</f>
        <v>0.95833333333333337</v>
      </c>
      <c r="G97" s="316">
        <f t="shared" si="30"/>
        <v>0.96875</v>
      </c>
      <c r="H97" s="290">
        <v>1.0416666666666666E-2</v>
      </c>
      <c r="I97" s="282">
        <v>65</v>
      </c>
      <c r="K97" s="295" t="e">
        <f>HLOOKUP(K$78,'＜表示→コピペ＞活動計画まとめ'!$E$1:$I$202,$D96,FALSE)</f>
        <v>#N/A</v>
      </c>
      <c r="L97" s="293" t="e">
        <f>HLOOKUP(K$78,'＜表示→コピペ＞活動計画まとめ'!$E$1:$I$202,$I96,FALSE)</f>
        <v>#N/A</v>
      </c>
      <c r="M97" s="285" t="e">
        <f t="shared" si="31"/>
        <v>#N/A</v>
      </c>
      <c r="N97" s="290">
        <v>1.0416666666666666E-2</v>
      </c>
      <c r="P97" s="298"/>
      <c r="Q97" s="295" t="str">
        <f>HLOOKUP(Q$78,'＜表示→コピペ＞活動計画まとめ'!$E$1:$I$202,$D96,FALSE)</f>
        <v>消灯</v>
      </c>
      <c r="R97" s="293">
        <f>HLOOKUP(Q$78,'＜表示→コピペ＞活動計画まとめ'!$E$1:$I$202,$I96,FALSE)</f>
        <v>0.95833333333333337</v>
      </c>
      <c r="S97" s="285">
        <f t="shared" si="32"/>
        <v>0.96875</v>
      </c>
      <c r="T97" s="290">
        <v>1.0416666666666666E-2</v>
      </c>
      <c r="U97" s="284"/>
      <c r="W97" s="295" t="str">
        <f>HLOOKUP(W$78,'＜表示→コピペ＞活動計画まとめ'!$E$1:$I$202,$D96,FALSE)</f>
        <v>消灯</v>
      </c>
      <c r="X97" s="293">
        <f>HLOOKUP(W$78,'＜表示→コピペ＞活動計画まとめ'!$E$1:$I$202,$I96,FALSE)</f>
        <v>0.95833333333333337</v>
      </c>
      <c r="Y97" s="285">
        <f t="shared" si="33"/>
        <v>0.96875</v>
      </c>
      <c r="Z97" s="290">
        <v>1.0416666666666666E-2</v>
      </c>
      <c r="AA97" s="284"/>
      <c r="AC97" s="295" t="str">
        <f>HLOOKUP(AC$78,'＜表示→コピペ＞活動計画まとめ'!$E$1:$I$202,$D96,FALSE)</f>
        <v>消灯</v>
      </c>
      <c r="AD97" s="293">
        <f>HLOOKUP(AC$78,'＜表示→コピペ＞活動計画まとめ'!$E$1:$I$202,$I96,FALSE)</f>
        <v>0.95833333333333337</v>
      </c>
      <c r="AE97" s="285">
        <f t="shared" si="34"/>
        <v>0.96875</v>
      </c>
      <c r="AF97" s="290">
        <v>1.0416666666666666E-2</v>
      </c>
    </row>
    <row r="98" spans="1:32" s="282" customFormat="1" ht="28.5" customHeight="1" thickBot="1">
      <c r="A98" s="898"/>
      <c r="B98" s="861" t="s">
        <v>294</v>
      </c>
      <c r="C98" s="216" t="s">
        <v>296</v>
      </c>
      <c r="D98" s="282">
        <v>23</v>
      </c>
      <c r="E98" s="309" t="str">
        <f>HLOOKUP(E$78,'＜表示→コピペ＞活動計画まとめ'!$E$1:$I$202,$D97,FALSE)</f>
        <v/>
      </c>
      <c r="F98" s="310">
        <f>HLOOKUP(E$78,'＜表示→コピペ＞活動計画まとめ'!$E$1:$I$202,$I97,FALSE)</f>
        <v>0</v>
      </c>
      <c r="G98" s="311">
        <f t="shared" si="30"/>
        <v>0.125</v>
      </c>
      <c r="H98" s="290">
        <v>0.125</v>
      </c>
      <c r="I98" s="282">
        <v>66</v>
      </c>
      <c r="K98" s="288" t="e">
        <f>HLOOKUP(K$78,'＜表示→コピペ＞活動計画まとめ'!$E$1:$I$202,$D97,FALSE)</f>
        <v>#N/A</v>
      </c>
      <c r="L98" s="296" t="e">
        <f>HLOOKUP(K$78,'＜表示→コピペ＞活動計画まとめ'!$E$1:$I$202,$I97,FALSE)</f>
        <v>#N/A</v>
      </c>
      <c r="M98" s="285" t="e">
        <f t="shared" si="31"/>
        <v>#N/A</v>
      </c>
      <c r="N98" s="290">
        <v>0.125</v>
      </c>
      <c r="P98" s="298"/>
      <c r="Q98" s="288" t="str">
        <f>HLOOKUP(Q$78,'＜表示→コピペ＞活動計画まとめ'!$E$1:$I$202,$D97,FALSE)</f>
        <v xml:space="preserve">カレーづくりセット  </v>
      </c>
      <c r="R98" s="296" t="str">
        <f>HLOOKUP(Q$78,'＜表示→コピペ＞活動計画まとめ'!$E$1:$I$202,$I97,FALSE)</f>
        <v/>
      </c>
      <c r="S98" s="285">
        <f t="shared" si="32"/>
        <v>0.125</v>
      </c>
      <c r="T98" s="290">
        <v>0.125</v>
      </c>
      <c r="U98" s="284"/>
      <c r="W98" s="288" t="str">
        <f>HLOOKUP(W$78,'＜表示→コピペ＞活動計画まとめ'!$E$1:$I$202,$D97,FALSE)</f>
        <v xml:space="preserve">カレーづくりセット  </v>
      </c>
      <c r="X98" s="296" t="str">
        <f>HLOOKUP(W$78,'＜表示→コピペ＞活動計画まとめ'!$E$1:$I$202,$I97,FALSE)</f>
        <v/>
      </c>
      <c r="Y98" s="285">
        <f t="shared" si="33"/>
        <v>0.125</v>
      </c>
      <c r="Z98" s="290">
        <v>0.125</v>
      </c>
      <c r="AA98" s="284"/>
      <c r="AC98" s="288" t="str">
        <f>HLOOKUP(AC$78,'＜表示→コピペ＞活動計画まとめ'!$E$1:$I$202,$D97,FALSE)</f>
        <v xml:space="preserve">カレーづくりセット  </v>
      </c>
      <c r="AD98" s="296" t="str">
        <f>HLOOKUP(AC$78,'＜表示→コピペ＞活動計画まとめ'!$E$1:$I$202,$I97,FALSE)</f>
        <v/>
      </c>
      <c r="AE98" s="285">
        <f t="shared" si="34"/>
        <v>0.125</v>
      </c>
      <c r="AF98" s="290">
        <v>0.125</v>
      </c>
    </row>
    <row r="99" spans="1:32" s="282" customFormat="1" ht="28.5" customHeight="1">
      <c r="A99" s="898"/>
      <c r="B99" s="861"/>
      <c r="C99" s="216"/>
      <c r="D99" s="282">
        <v>24</v>
      </c>
      <c r="E99" s="309" t="str">
        <f>HLOOKUP(E$78,'＜表示→コピペ＞活動計画まとめ'!$E$1:$I$202,$D98,FALSE)</f>
        <v/>
      </c>
      <c r="F99" s="310">
        <f>HLOOKUP(E$78,'＜表示→コピペ＞活動計画まとめ'!$E$1:$I$202,$I98,FALSE)</f>
        <v>0</v>
      </c>
      <c r="G99" s="311">
        <f t="shared" si="30"/>
        <v>0.125</v>
      </c>
      <c r="H99" s="290">
        <v>0.125</v>
      </c>
      <c r="I99" s="282">
        <v>67</v>
      </c>
      <c r="K99" s="292" t="e">
        <f>HLOOKUP(K$78,'＜表示→コピペ＞活動計画まとめ'!$E$1:$I$202,$D98,FALSE)</f>
        <v>#N/A</v>
      </c>
      <c r="L99" s="293" t="e">
        <f>HLOOKUP(K$78,'＜表示→コピペ＞活動計画まとめ'!$E$1:$I$202,$I98,FALSE)</f>
        <v>#N/A</v>
      </c>
      <c r="M99" s="285" t="e">
        <f t="shared" si="31"/>
        <v>#N/A</v>
      </c>
      <c r="N99" s="290">
        <v>0.125</v>
      </c>
      <c r="P99" s="298"/>
      <c r="Q99" s="292" t="str">
        <f>HLOOKUP(Q$78,'＜表示→コピペ＞活動計画まとめ'!$E$1:$I$202,$D98,FALSE)</f>
        <v xml:space="preserve">ピザづくりセット  </v>
      </c>
      <c r="R99" s="293" t="str">
        <f>HLOOKUP(Q$78,'＜表示→コピペ＞活動計画まとめ'!$E$1:$I$202,$I98,FALSE)</f>
        <v/>
      </c>
      <c r="S99" s="285">
        <f t="shared" si="32"/>
        <v>0.125</v>
      </c>
      <c r="T99" s="290">
        <v>0.125</v>
      </c>
      <c r="U99" s="284"/>
      <c r="W99" s="292" t="str">
        <f>HLOOKUP(W$78,'＜表示→コピペ＞活動計画まとめ'!$E$1:$I$202,$D98,FALSE)</f>
        <v xml:space="preserve">ピザづくりセット  </v>
      </c>
      <c r="X99" s="293" t="str">
        <f>HLOOKUP(W$78,'＜表示→コピペ＞活動計画まとめ'!$E$1:$I$202,$I98,FALSE)</f>
        <v/>
      </c>
      <c r="Y99" s="285">
        <f t="shared" si="33"/>
        <v>0.125</v>
      </c>
      <c r="Z99" s="290">
        <v>0.125</v>
      </c>
      <c r="AA99" s="284"/>
      <c r="AC99" s="292" t="str">
        <f>HLOOKUP(AC$78,'＜表示→コピペ＞活動計画まとめ'!$E$1:$I$202,$D98,FALSE)</f>
        <v xml:space="preserve">ピザづくりセット  </v>
      </c>
      <c r="AD99" s="293" t="str">
        <f>HLOOKUP(AC$78,'＜表示→コピペ＞活動計画まとめ'!$E$1:$I$202,$I98,FALSE)</f>
        <v/>
      </c>
      <c r="AE99" s="285">
        <f t="shared" si="34"/>
        <v>0.125</v>
      </c>
      <c r="AF99" s="290">
        <v>0.125</v>
      </c>
    </row>
    <row r="100" spans="1:32" s="282" customFormat="1" ht="28.5" customHeight="1">
      <c r="A100" s="898"/>
      <c r="B100" s="861"/>
      <c r="C100" s="216" t="s">
        <v>295</v>
      </c>
      <c r="D100" s="282">
        <v>25</v>
      </c>
      <c r="E100" s="312" t="str">
        <f>HLOOKUP(E$78,'＜表示→コピペ＞活動計画まとめ'!$E$1:$I$202,$D99,FALSE)</f>
        <v/>
      </c>
      <c r="F100" s="306">
        <f>HLOOKUP(E$78,'＜表示→コピペ＞活動計画まとめ'!$E$1:$I$202,$I99,FALSE)</f>
        <v>0</v>
      </c>
      <c r="G100" s="313">
        <f t="shared" si="30"/>
        <v>0.125</v>
      </c>
      <c r="H100" s="290">
        <v>0.125</v>
      </c>
      <c r="I100" s="282">
        <v>68</v>
      </c>
      <c r="K100" s="292" t="e">
        <f>HLOOKUP(K$78,'＜表示→コピペ＞活動計画まとめ'!$E$1:$I$202,$D99,FALSE)</f>
        <v>#N/A</v>
      </c>
      <c r="L100" s="293" t="e">
        <f>HLOOKUP(K$78,'＜表示→コピペ＞活動計画まとめ'!$E$1:$I$202,$I99,FALSE)</f>
        <v>#N/A</v>
      </c>
      <c r="M100" s="285" t="e">
        <f t="shared" si="31"/>
        <v>#N/A</v>
      </c>
      <c r="N100" s="290">
        <v>0.125</v>
      </c>
      <c r="P100" s="298"/>
      <c r="Q100" s="292" t="str">
        <f>HLOOKUP(Q$78,'＜表示→コピペ＞活動計画まとめ'!$E$1:$I$202,$D99,FALSE)</f>
        <v xml:space="preserve">まんじゅうづくりセット  </v>
      </c>
      <c r="R100" s="293" t="str">
        <f>HLOOKUP(Q$78,'＜表示→コピペ＞活動計画まとめ'!$E$1:$I$202,$I99,FALSE)</f>
        <v/>
      </c>
      <c r="S100" s="285">
        <f t="shared" si="32"/>
        <v>0.125</v>
      </c>
      <c r="T100" s="290">
        <v>0.125</v>
      </c>
      <c r="U100" s="284"/>
      <c r="W100" s="292" t="str">
        <f>HLOOKUP(W$78,'＜表示→コピペ＞活動計画まとめ'!$E$1:$I$202,$D99,FALSE)</f>
        <v xml:space="preserve">まんじゅうづくりセット  </v>
      </c>
      <c r="X100" s="293" t="str">
        <f>HLOOKUP(W$78,'＜表示→コピペ＞活動計画まとめ'!$E$1:$I$202,$I99,FALSE)</f>
        <v/>
      </c>
      <c r="Y100" s="285">
        <f t="shared" si="33"/>
        <v>0.125</v>
      </c>
      <c r="Z100" s="290">
        <v>0.125</v>
      </c>
      <c r="AA100" s="284"/>
      <c r="AC100" s="292" t="str">
        <f>HLOOKUP(AC$78,'＜表示→コピペ＞活動計画まとめ'!$E$1:$I$202,$D99,FALSE)</f>
        <v xml:space="preserve">まんじゅうづくりセット  </v>
      </c>
      <c r="AD100" s="293" t="str">
        <f>HLOOKUP(AC$78,'＜表示→コピペ＞活動計画まとめ'!$E$1:$I$202,$I99,FALSE)</f>
        <v/>
      </c>
      <c r="AE100" s="285">
        <f t="shared" si="34"/>
        <v>0.125</v>
      </c>
      <c r="AF100" s="290">
        <v>0.125</v>
      </c>
    </row>
    <row r="101" spans="1:32" s="282" customFormat="1" ht="28.5" customHeight="1">
      <c r="A101" s="898"/>
      <c r="B101" s="861"/>
      <c r="C101" s="216" t="s">
        <v>297</v>
      </c>
      <c r="D101" s="282">
        <v>26</v>
      </c>
      <c r="E101" s="312" t="str">
        <f>HLOOKUP(E$78,'＜表示→コピペ＞活動計画まとめ'!$E$1:$I$202,$D100,FALSE)</f>
        <v/>
      </c>
      <c r="F101" s="306">
        <f>HLOOKUP(E$78,'＜表示→コピペ＞活動計画まとめ'!$E$1:$I$202,$I100,FALSE)</f>
        <v>0</v>
      </c>
      <c r="G101" s="313">
        <f t="shared" si="30"/>
        <v>0.125</v>
      </c>
      <c r="H101" s="290">
        <v>0.125</v>
      </c>
      <c r="I101" s="282">
        <v>69</v>
      </c>
      <c r="K101" s="292" t="e">
        <f>HLOOKUP(K$78,'＜表示→コピペ＞活動計画まとめ'!$E$1:$I$202,$D100,FALSE)</f>
        <v>#N/A</v>
      </c>
      <c r="L101" s="293" t="e">
        <f>HLOOKUP(K$78,'＜表示→コピペ＞活動計画まとめ'!$E$1:$I$202,$I100,FALSE)</f>
        <v>#N/A</v>
      </c>
      <c r="M101" s="285" t="e">
        <f t="shared" si="31"/>
        <v>#N/A</v>
      </c>
      <c r="N101" s="290">
        <v>0.125</v>
      </c>
      <c r="P101" s="298"/>
      <c r="Q101" s="292" t="str">
        <f>HLOOKUP(Q$78,'＜表示→コピペ＞活動計画まとめ'!$E$1:$I$202,$D100,FALSE)</f>
        <v xml:space="preserve">うどんづくりセット  </v>
      </c>
      <c r="R101" s="293" t="str">
        <f>HLOOKUP(Q$78,'＜表示→コピペ＞活動計画まとめ'!$E$1:$I$202,$I100,FALSE)</f>
        <v/>
      </c>
      <c r="S101" s="285">
        <f t="shared" si="32"/>
        <v>0.125</v>
      </c>
      <c r="T101" s="290">
        <v>0.125</v>
      </c>
      <c r="U101" s="284"/>
      <c r="W101" s="292" t="str">
        <f>HLOOKUP(W$78,'＜表示→コピペ＞活動計画まとめ'!$E$1:$I$202,$D100,FALSE)</f>
        <v xml:space="preserve">うどんづくりセット  </v>
      </c>
      <c r="X101" s="293" t="str">
        <f>HLOOKUP(W$78,'＜表示→コピペ＞活動計画まとめ'!$E$1:$I$202,$I100,FALSE)</f>
        <v/>
      </c>
      <c r="Y101" s="285">
        <f t="shared" si="33"/>
        <v>0.125</v>
      </c>
      <c r="Z101" s="290">
        <v>0.125</v>
      </c>
      <c r="AA101" s="284"/>
      <c r="AC101" s="292" t="str">
        <f>HLOOKUP(AC$78,'＜表示→コピペ＞活動計画まとめ'!$E$1:$I$202,$D100,FALSE)</f>
        <v xml:space="preserve">うどんづくりセット  </v>
      </c>
      <c r="AD101" s="293" t="str">
        <f>HLOOKUP(AC$78,'＜表示→コピペ＞活動計画まとめ'!$E$1:$I$202,$I100,FALSE)</f>
        <v/>
      </c>
      <c r="AE101" s="285">
        <f t="shared" si="34"/>
        <v>0.125</v>
      </c>
      <c r="AF101" s="290">
        <v>0.125</v>
      </c>
    </row>
    <row r="102" spans="1:32" s="282" customFormat="1" ht="28.5" customHeight="1">
      <c r="A102" s="898"/>
      <c r="B102" s="861" t="s">
        <v>69</v>
      </c>
      <c r="C102" s="216" t="s">
        <v>3</v>
      </c>
      <c r="D102" s="282">
        <v>27</v>
      </c>
      <c r="E102" s="312" t="str">
        <f>HLOOKUP(E$78,'＜表示→コピペ＞活動計画まとめ'!$E$1:$I$202,$D101,FALSE)</f>
        <v/>
      </c>
      <c r="F102" s="306">
        <f>HLOOKUP(E$78,'＜表示→コピペ＞活動計画まとめ'!$E$1:$I$202,$I101,FALSE)</f>
        <v>0</v>
      </c>
      <c r="G102" s="313">
        <f t="shared" si="30"/>
        <v>0.125</v>
      </c>
      <c r="H102" s="290">
        <v>0.125</v>
      </c>
      <c r="I102" s="282">
        <v>70</v>
      </c>
      <c r="K102" s="292" t="e">
        <f>HLOOKUP(K$78,'＜表示→コピペ＞活動計画まとめ'!$E$1:$I$202,$D101,FALSE)</f>
        <v>#N/A</v>
      </c>
      <c r="L102" s="293" t="e">
        <f>HLOOKUP(K$78,'＜表示→コピペ＞活動計画まとめ'!$E$1:$I$202,$I101,FALSE)</f>
        <v>#N/A</v>
      </c>
      <c r="M102" s="285" t="e">
        <f t="shared" si="31"/>
        <v>#N/A</v>
      </c>
      <c r="N102" s="290">
        <v>0.125</v>
      </c>
      <c r="P102" s="298"/>
      <c r="Q102" s="292" t="str">
        <f>HLOOKUP(Q$78,'＜表示→コピペ＞活動計画まとめ'!$E$1:$I$202,$D101,FALSE)</f>
        <v/>
      </c>
      <c r="R102" s="293">
        <f>HLOOKUP(Q$78,'＜表示→コピペ＞活動計画まとめ'!$E$1:$I$202,$I101,FALSE)</f>
        <v>0</v>
      </c>
      <c r="S102" s="285">
        <f t="shared" si="32"/>
        <v>0.125</v>
      </c>
      <c r="T102" s="290">
        <v>0.125</v>
      </c>
      <c r="U102" s="284"/>
      <c r="W102" s="292" t="str">
        <f>HLOOKUP(W$78,'＜表示→コピペ＞活動計画まとめ'!$E$1:$I$202,$D101,FALSE)</f>
        <v/>
      </c>
      <c r="X102" s="293">
        <f>HLOOKUP(W$78,'＜表示→コピペ＞活動計画まとめ'!$E$1:$I$202,$I101,FALSE)</f>
        <v>0</v>
      </c>
      <c r="Y102" s="285">
        <f t="shared" si="33"/>
        <v>0.125</v>
      </c>
      <c r="Z102" s="290">
        <v>0.125</v>
      </c>
      <c r="AA102" s="284"/>
      <c r="AC102" s="292" t="str">
        <f>HLOOKUP(AC$78,'＜表示→コピペ＞活動計画まとめ'!$E$1:$I$202,$D101,FALSE)</f>
        <v/>
      </c>
      <c r="AD102" s="293">
        <f>HLOOKUP(AC$78,'＜表示→コピペ＞活動計画まとめ'!$E$1:$I$202,$I101,FALSE)</f>
        <v>0</v>
      </c>
      <c r="AE102" s="285">
        <f t="shared" si="34"/>
        <v>0.125</v>
      </c>
      <c r="AF102" s="290">
        <v>0.125</v>
      </c>
    </row>
    <row r="103" spans="1:32" s="282" customFormat="1" ht="28.5" customHeight="1" thickBot="1">
      <c r="A103" s="898"/>
      <c r="B103" s="861"/>
      <c r="C103" s="216" t="s">
        <v>4</v>
      </c>
      <c r="D103" s="282">
        <v>28</v>
      </c>
      <c r="E103" s="312" t="str">
        <f>HLOOKUP(E$78,'＜表示→コピペ＞活動計画まとめ'!$E$1:$I$202,$D102,FALSE)</f>
        <v/>
      </c>
      <c r="F103" s="306">
        <f>HLOOKUP(E$78,'＜表示→コピペ＞活動計画まとめ'!$E$1:$I$202,$I102,FALSE)</f>
        <v>0</v>
      </c>
      <c r="G103" s="313">
        <f t="shared" si="30"/>
        <v>8.3333333333333329E-2</v>
      </c>
      <c r="H103" s="290">
        <v>8.3333333333333329E-2</v>
      </c>
      <c r="I103" s="282">
        <v>71</v>
      </c>
      <c r="K103" s="295" t="e">
        <f>HLOOKUP(K$78,'＜表示→コピペ＞活動計画まとめ'!$E$1:$I$202,$D102,FALSE)</f>
        <v>#N/A</v>
      </c>
      <c r="L103" s="293" t="e">
        <f>HLOOKUP(K$78,'＜表示→コピペ＞活動計画まとめ'!$E$1:$I$202,$I102,FALSE)</f>
        <v>#N/A</v>
      </c>
      <c r="M103" s="285" t="e">
        <f t="shared" si="31"/>
        <v>#N/A</v>
      </c>
      <c r="N103" s="290">
        <v>8.3333333333333329E-2</v>
      </c>
      <c r="P103" s="298"/>
      <c r="Q103" s="295" t="str">
        <f>HLOOKUP(Q$78,'＜表示→コピペ＞活動計画まとめ'!$E$1:$I$202,$D102,FALSE)</f>
        <v/>
      </c>
      <c r="R103" s="293">
        <f>HLOOKUP(Q$78,'＜表示→コピペ＞活動計画まとめ'!$E$1:$I$202,$I102,FALSE)</f>
        <v>0</v>
      </c>
      <c r="S103" s="285">
        <f t="shared" si="32"/>
        <v>8.3333333333333329E-2</v>
      </c>
      <c r="T103" s="290">
        <v>8.3333333333333329E-2</v>
      </c>
      <c r="U103" s="284"/>
      <c r="W103" s="295" t="str">
        <f>HLOOKUP(W$78,'＜表示→コピペ＞活動計画まとめ'!$E$1:$I$202,$D102,FALSE)</f>
        <v/>
      </c>
      <c r="X103" s="293">
        <f>HLOOKUP(W$78,'＜表示→コピペ＞活動計画まとめ'!$E$1:$I$202,$I102,FALSE)</f>
        <v>0</v>
      </c>
      <c r="Y103" s="285">
        <f t="shared" si="33"/>
        <v>8.3333333333333329E-2</v>
      </c>
      <c r="Z103" s="290">
        <v>8.3333333333333329E-2</v>
      </c>
      <c r="AA103" s="284"/>
      <c r="AC103" s="295" t="str">
        <f>HLOOKUP(AC$78,'＜表示→コピペ＞活動計画まとめ'!$E$1:$I$202,$D102,FALSE)</f>
        <v/>
      </c>
      <c r="AD103" s="293">
        <f>HLOOKUP(AC$78,'＜表示→コピペ＞活動計画まとめ'!$E$1:$I$202,$I102,FALSE)</f>
        <v>0</v>
      </c>
      <c r="AE103" s="285">
        <f t="shared" si="34"/>
        <v>8.3333333333333329E-2</v>
      </c>
      <c r="AF103" s="290">
        <v>8.3333333333333329E-2</v>
      </c>
    </row>
    <row r="104" spans="1:32" s="282" customFormat="1" ht="28.5" customHeight="1" thickBot="1">
      <c r="A104" s="898"/>
      <c r="B104" s="861"/>
      <c r="C104" s="216" t="s">
        <v>5</v>
      </c>
      <c r="D104" s="282">
        <v>29</v>
      </c>
      <c r="E104" s="312" t="str">
        <f>HLOOKUP(E$78,'＜表示→コピペ＞活動計画まとめ'!$E$1:$I$202,$D103,FALSE)</f>
        <v/>
      </c>
      <c r="F104" s="306">
        <f>HLOOKUP(E$78,'＜表示→コピペ＞活動計画まとめ'!$E$1:$I$202,$I103,FALSE)</f>
        <v>0</v>
      </c>
      <c r="G104" s="313">
        <f t="shared" si="30"/>
        <v>8.3333333333333329E-2</v>
      </c>
      <c r="H104" s="290">
        <v>8.3333333333333329E-2</v>
      </c>
      <c r="I104" s="282">
        <v>72</v>
      </c>
      <c r="K104" s="299" t="e">
        <f>HLOOKUP(K$78,'＜表示→コピペ＞活動計画まとめ'!$E$1:$I$202,$D103,FALSE)</f>
        <v>#N/A</v>
      </c>
      <c r="L104" s="293" t="e">
        <f>HLOOKUP(K$78,'＜表示→コピペ＞活動計画まとめ'!$E$1:$I$202,$I103,FALSE)</f>
        <v>#N/A</v>
      </c>
      <c r="M104" s="285" t="e">
        <f t="shared" si="31"/>
        <v>#N/A</v>
      </c>
      <c r="N104" s="290">
        <v>8.3333333333333329E-2</v>
      </c>
      <c r="P104" s="298"/>
      <c r="Q104" s="299" t="str">
        <f>HLOOKUP(Q$78,'＜表示→コピペ＞活動計画まとめ'!$E$1:$I$202,$D103,FALSE)</f>
        <v/>
      </c>
      <c r="R104" s="293">
        <f>HLOOKUP(Q$78,'＜表示→コピペ＞活動計画まとめ'!$E$1:$I$202,$I103,FALSE)</f>
        <v>0</v>
      </c>
      <c r="S104" s="285">
        <f t="shared" si="32"/>
        <v>8.3333333333333329E-2</v>
      </c>
      <c r="T104" s="290">
        <v>8.3333333333333329E-2</v>
      </c>
      <c r="U104" s="284"/>
      <c r="W104" s="299" t="str">
        <f>HLOOKUP(W$78,'＜表示→コピペ＞活動計画まとめ'!$E$1:$I$202,$D103,FALSE)</f>
        <v/>
      </c>
      <c r="X104" s="293">
        <f>HLOOKUP(W$78,'＜表示→コピペ＞活動計画まとめ'!$E$1:$I$202,$I103,FALSE)</f>
        <v>0</v>
      </c>
      <c r="Y104" s="285">
        <f t="shared" si="33"/>
        <v>8.3333333333333329E-2</v>
      </c>
      <c r="Z104" s="290">
        <v>8.3333333333333329E-2</v>
      </c>
      <c r="AA104" s="284"/>
      <c r="AC104" s="299" t="str">
        <f>HLOOKUP(AC$78,'＜表示→コピペ＞活動計画まとめ'!$E$1:$I$202,$D103,FALSE)</f>
        <v/>
      </c>
      <c r="AD104" s="293">
        <f>HLOOKUP(AC$78,'＜表示→コピペ＞活動計画まとめ'!$E$1:$I$202,$I103,FALSE)</f>
        <v>0</v>
      </c>
      <c r="AE104" s="285">
        <f t="shared" si="34"/>
        <v>8.3333333333333329E-2</v>
      </c>
      <c r="AF104" s="290">
        <v>8.3333333333333329E-2</v>
      </c>
    </row>
    <row r="105" spans="1:32" s="282" customFormat="1" ht="28.5" customHeight="1">
      <c r="A105" s="898"/>
      <c r="B105" s="861"/>
      <c r="C105" s="216" t="s">
        <v>7</v>
      </c>
      <c r="D105" s="282">
        <v>30</v>
      </c>
      <c r="E105" s="312" t="str">
        <f>HLOOKUP(E$78,'＜表示→コピペ＞活動計画まとめ'!$E$1:$I$202,$D104,FALSE)</f>
        <v/>
      </c>
      <c r="F105" s="306">
        <f>HLOOKUP(E$78,'＜表示→コピペ＞活動計画まとめ'!$E$1:$I$202,$I104,FALSE)</f>
        <v>0</v>
      </c>
      <c r="G105" s="313">
        <f t="shared" si="30"/>
        <v>8.3333333333333329E-2</v>
      </c>
      <c r="H105" s="290">
        <v>8.3333333333333329E-2</v>
      </c>
      <c r="I105" s="282">
        <v>73</v>
      </c>
      <c r="K105" s="288" t="e">
        <f>HLOOKUP(K$78,'＜表示→コピペ＞活動計画まとめ'!$E$1:$I$202,$D104,FALSE)</f>
        <v>#N/A</v>
      </c>
      <c r="L105" s="293" t="e">
        <f>HLOOKUP(K$78,'＜表示→コピペ＞活動計画まとめ'!$E$1:$I$202,$I104,FALSE)</f>
        <v>#N/A</v>
      </c>
      <c r="M105" s="285" t="e">
        <f t="shared" si="31"/>
        <v>#N/A</v>
      </c>
      <c r="N105" s="290">
        <v>8.3333333333333329E-2</v>
      </c>
      <c r="P105" s="298"/>
      <c r="Q105" s="288" t="str">
        <f>HLOOKUP(Q$78,'＜表示→コピペ＞活動計画まとめ'!$E$1:$I$202,$D104,FALSE)</f>
        <v/>
      </c>
      <c r="R105" s="293">
        <f>HLOOKUP(Q$78,'＜表示→コピペ＞活動計画まとめ'!$E$1:$I$202,$I104,FALSE)</f>
        <v>0</v>
      </c>
      <c r="S105" s="285">
        <f t="shared" si="32"/>
        <v>8.3333333333333329E-2</v>
      </c>
      <c r="T105" s="290">
        <v>8.3333333333333329E-2</v>
      </c>
      <c r="U105" s="284"/>
      <c r="W105" s="288" t="str">
        <f>HLOOKUP(W$78,'＜表示→コピペ＞活動計画まとめ'!$E$1:$I$202,$D104,FALSE)</f>
        <v/>
      </c>
      <c r="X105" s="293">
        <f>HLOOKUP(W$78,'＜表示→コピペ＞活動計画まとめ'!$E$1:$I$202,$I104,FALSE)</f>
        <v>0</v>
      </c>
      <c r="Y105" s="285">
        <f t="shared" si="33"/>
        <v>8.3333333333333329E-2</v>
      </c>
      <c r="Z105" s="290">
        <v>8.3333333333333329E-2</v>
      </c>
      <c r="AA105" s="284"/>
      <c r="AC105" s="288" t="str">
        <f>HLOOKUP(AC$78,'＜表示→コピペ＞活動計画まとめ'!$E$1:$I$202,$D104,FALSE)</f>
        <v/>
      </c>
      <c r="AD105" s="293">
        <f>HLOOKUP(AC$78,'＜表示→コピペ＞活動計画まとめ'!$E$1:$I$202,$I104,FALSE)</f>
        <v>0</v>
      </c>
      <c r="AE105" s="285">
        <f t="shared" si="34"/>
        <v>8.3333333333333329E-2</v>
      </c>
      <c r="AF105" s="290">
        <v>8.3333333333333329E-2</v>
      </c>
    </row>
    <row r="106" spans="1:32" s="282" customFormat="1" ht="28.5" customHeight="1">
      <c r="A106" s="898"/>
      <c r="B106" s="861"/>
      <c r="C106" s="216" t="s">
        <v>8</v>
      </c>
      <c r="D106" s="282">
        <v>31</v>
      </c>
      <c r="E106" s="312" t="str">
        <f>HLOOKUP(E$78,'＜表示→コピペ＞活動計画まとめ'!$E$1:$I$202,$D105,FALSE)</f>
        <v/>
      </c>
      <c r="F106" s="306">
        <f>HLOOKUP(E$78,'＜表示→コピペ＞活動計画まとめ'!$E$1:$I$202,$I105,FALSE)</f>
        <v>0</v>
      </c>
      <c r="G106" s="313">
        <f t="shared" si="30"/>
        <v>8.3333333333333329E-2</v>
      </c>
      <c r="H106" s="290">
        <v>8.3333333333333329E-2</v>
      </c>
      <c r="I106" s="282">
        <v>74</v>
      </c>
      <c r="K106" s="292" t="e">
        <f>HLOOKUP(K$78,'＜表示→コピペ＞活動計画まとめ'!$E$1:$I$202,$D105,FALSE)</f>
        <v>#N/A</v>
      </c>
      <c r="L106" s="293" t="e">
        <f>HLOOKUP(K$78,'＜表示→コピペ＞活動計画まとめ'!$E$1:$I$202,$I105,FALSE)</f>
        <v>#N/A</v>
      </c>
      <c r="M106" s="285" t="e">
        <f t="shared" si="31"/>
        <v>#N/A</v>
      </c>
      <c r="N106" s="290">
        <v>8.3333333333333329E-2</v>
      </c>
      <c r="P106" s="298"/>
      <c r="Q106" s="292" t="str">
        <f>HLOOKUP(Q$78,'＜表示→コピペ＞活動計画まとめ'!$E$1:$I$202,$D105,FALSE)</f>
        <v/>
      </c>
      <c r="R106" s="293">
        <f>HLOOKUP(Q$78,'＜表示→コピペ＞活動計画まとめ'!$E$1:$I$202,$I105,FALSE)</f>
        <v>0</v>
      </c>
      <c r="S106" s="285">
        <f t="shared" si="32"/>
        <v>8.3333333333333329E-2</v>
      </c>
      <c r="T106" s="290">
        <v>8.3333333333333329E-2</v>
      </c>
      <c r="U106" s="284"/>
      <c r="W106" s="292" t="str">
        <f>HLOOKUP(W$78,'＜表示→コピペ＞活動計画まとめ'!$E$1:$I$202,$D105,FALSE)</f>
        <v/>
      </c>
      <c r="X106" s="293">
        <f>HLOOKUP(W$78,'＜表示→コピペ＞活動計画まとめ'!$E$1:$I$202,$I105,FALSE)</f>
        <v>0</v>
      </c>
      <c r="Y106" s="285">
        <f t="shared" si="33"/>
        <v>8.3333333333333329E-2</v>
      </c>
      <c r="Z106" s="290">
        <v>8.3333333333333329E-2</v>
      </c>
      <c r="AA106" s="284"/>
      <c r="AC106" s="292" t="str">
        <f>HLOOKUP(AC$78,'＜表示→コピペ＞活動計画まとめ'!$E$1:$I$202,$D105,FALSE)</f>
        <v/>
      </c>
      <c r="AD106" s="293">
        <f>HLOOKUP(AC$78,'＜表示→コピペ＞活動計画まとめ'!$E$1:$I$202,$I105,FALSE)</f>
        <v>0</v>
      </c>
      <c r="AE106" s="285">
        <f t="shared" si="34"/>
        <v>8.3333333333333329E-2</v>
      </c>
      <c r="AF106" s="290">
        <v>8.3333333333333329E-2</v>
      </c>
    </row>
    <row r="107" spans="1:32" s="282" customFormat="1" ht="28.5" customHeight="1">
      <c r="A107" s="898"/>
      <c r="B107" s="861"/>
      <c r="C107" s="216" t="s">
        <v>6</v>
      </c>
      <c r="D107" s="282">
        <v>32</v>
      </c>
      <c r="E107" s="312" t="str">
        <f>HLOOKUP(E$78,'＜表示→コピペ＞活動計画まとめ'!$E$1:$I$202,$D106,FALSE)</f>
        <v/>
      </c>
      <c r="F107" s="306">
        <f>HLOOKUP(E$78,'＜表示→コピペ＞活動計画まとめ'!$E$1:$I$202,$I106,FALSE)</f>
        <v>0</v>
      </c>
      <c r="G107" s="313">
        <f t="shared" si="30"/>
        <v>8.3333333333333329E-2</v>
      </c>
      <c r="H107" s="290">
        <v>8.3333333333333329E-2</v>
      </c>
      <c r="I107" s="282">
        <v>75</v>
      </c>
      <c r="K107" s="292" t="e">
        <f>HLOOKUP(K$78,'＜表示→コピペ＞活動計画まとめ'!$E$1:$I$202,$D106,FALSE)</f>
        <v>#N/A</v>
      </c>
      <c r="L107" s="293" t="e">
        <f>HLOOKUP(K$78,'＜表示→コピペ＞活動計画まとめ'!$E$1:$I$202,$I106,FALSE)</f>
        <v>#N/A</v>
      </c>
      <c r="M107" s="285" t="e">
        <f t="shared" si="31"/>
        <v>#N/A</v>
      </c>
      <c r="N107" s="290">
        <v>8.3333333333333329E-2</v>
      </c>
      <c r="P107" s="298"/>
      <c r="Q107" s="292" t="str">
        <f>HLOOKUP(Q$78,'＜表示→コピペ＞活動計画まとめ'!$E$1:$I$202,$D106,FALSE)</f>
        <v/>
      </c>
      <c r="R107" s="293">
        <f>HLOOKUP(Q$78,'＜表示→コピペ＞活動計画まとめ'!$E$1:$I$202,$I106,FALSE)</f>
        <v>0</v>
      </c>
      <c r="S107" s="285">
        <f t="shared" si="32"/>
        <v>8.3333333333333329E-2</v>
      </c>
      <c r="T107" s="290">
        <v>8.3333333333333329E-2</v>
      </c>
      <c r="U107" s="284"/>
      <c r="W107" s="292" t="str">
        <f>HLOOKUP(W$78,'＜表示→コピペ＞活動計画まとめ'!$E$1:$I$202,$D106,FALSE)</f>
        <v/>
      </c>
      <c r="X107" s="293">
        <f>HLOOKUP(W$78,'＜表示→コピペ＞活動計画まとめ'!$E$1:$I$202,$I106,FALSE)</f>
        <v>0</v>
      </c>
      <c r="Y107" s="285">
        <f t="shared" si="33"/>
        <v>8.3333333333333329E-2</v>
      </c>
      <c r="Z107" s="290">
        <v>8.3333333333333329E-2</v>
      </c>
      <c r="AA107" s="284"/>
      <c r="AC107" s="292" t="str">
        <f>HLOOKUP(AC$78,'＜表示→コピペ＞活動計画まとめ'!$E$1:$I$202,$D106,FALSE)</f>
        <v/>
      </c>
      <c r="AD107" s="293">
        <f>HLOOKUP(AC$78,'＜表示→コピペ＞活動計画まとめ'!$E$1:$I$202,$I106,FALSE)</f>
        <v>0</v>
      </c>
      <c r="AE107" s="285">
        <f t="shared" si="34"/>
        <v>8.3333333333333329E-2</v>
      </c>
      <c r="AF107" s="290">
        <v>8.3333333333333329E-2</v>
      </c>
    </row>
    <row r="108" spans="1:32" s="282" customFormat="1" ht="28.5" customHeight="1" thickBot="1">
      <c r="A108" s="898"/>
      <c r="B108" s="23" t="s">
        <v>19</v>
      </c>
      <c r="C108" s="216" t="s">
        <v>2</v>
      </c>
      <c r="D108" s="282">
        <v>33</v>
      </c>
      <c r="E108" s="312" t="str">
        <f>HLOOKUP(E$78,'＜表示→コピペ＞活動計画まとめ'!$E$1:$I$202,$D107,FALSE)</f>
        <v/>
      </c>
      <c r="F108" s="306">
        <f>HLOOKUP(E$78,'＜表示→コピペ＞活動計画まとめ'!$E$1:$I$202,$I107,FALSE)</f>
        <v>0</v>
      </c>
      <c r="G108" s="313">
        <f t="shared" si="30"/>
        <v>8.3333333333333329E-2</v>
      </c>
      <c r="H108" s="290">
        <v>8.3333333333333329E-2</v>
      </c>
      <c r="I108" s="282">
        <v>76</v>
      </c>
      <c r="K108" s="295" t="e">
        <f>HLOOKUP(K$78,'＜表示→コピペ＞活動計画まとめ'!$E$1:$I$202,$D107,FALSE)</f>
        <v>#N/A</v>
      </c>
      <c r="L108" s="293" t="e">
        <f>HLOOKUP(K$78,'＜表示→コピペ＞活動計画まとめ'!$E$1:$I$202,$I107,FALSE)</f>
        <v>#N/A</v>
      </c>
      <c r="M108" s="285" t="e">
        <f t="shared" si="31"/>
        <v>#N/A</v>
      </c>
      <c r="N108" s="290">
        <v>8.3333333333333329E-2</v>
      </c>
      <c r="P108" s="298"/>
      <c r="Q108" s="295" t="str">
        <f>HLOOKUP(Q$78,'＜表示→コピペ＞活動計画まとめ'!$E$1:$I$202,$D107,FALSE)</f>
        <v/>
      </c>
      <c r="R108" s="293">
        <f>HLOOKUP(Q$78,'＜表示→コピペ＞活動計画まとめ'!$E$1:$I$202,$I107,FALSE)</f>
        <v>0</v>
      </c>
      <c r="S108" s="285">
        <f t="shared" si="32"/>
        <v>8.3333333333333329E-2</v>
      </c>
      <c r="T108" s="290">
        <v>8.3333333333333329E-2</v>
      </c>
      <c r="U108" s="284"/>
      <c r="W108" s="295" t="str">
        <f>HLOOKUP(W$78,'＜表示→コピペ＞活動計画まとめ'!$E$1:$I$202,$D107,FALSE)</f>
        <v/>
      </c>
      <c r="X108" s="293">
        <f>HLOOKUP(W$78,'＜表示→コピペ＞活動計画まとめ'!$E$1:$I$202,$I107,FALSE)</f>
        <v>0</v>
      </c>
      <c r="Y108" s="285">
        <f t="shared" si="33"/>
        <v>8.3333333333333329E-2</v>
      </c>
      <c r="Z108" s="290">
        <v>8.3333333333333329E-2</v>
      </c>
      <c r="AA108" s="284"/>
      <c r="AC108" s="295" t="str">
        <f>HLOOKUP(AC$78,'＜表示→コピペ＞活動計画まとめ'!$E$1:$I$202,$D107,FALSE)</f>
        <v/>
      </c>
      <c r="AD108" s="293">
        <f>HLOOKUP(AC$78,'＜表示→コピペ＞活動計画まとめ'!$E$1:$I$202,$I107,FALSE)</f>
        <v>0</v>
      </c>
      <c r="AE108" s="285">
        <f t="shared" si="34"/>
        <v>8.3333333333333329E-2</v>
      </c>
      <c r="AF108" s="290">
        <v>8.3333333333333329E-2</v>
      </c>
    </row>
    <row r="109" spans="1:32" s="282" customFormat="1" ht="28.5" customHeight="1">
      <c r="A109" s="898"/>
      <c r="B109" s="891" t="s">
        <v>268</v>
      </c>
      <c r="C109" s="216" t="s">
        <v>9</v>
      </c>
      <c r="D109" s="282">
        <v>34</v>
      </c>
      <c r="E109" s="312" t="str">
        <f>HLOOKUP(E$78,'＜表示→コピペ＞活動計画まとめ'!$E$1:$I$202,$D108,FALSE)</f>
        <v/>
      </c>
      <c r="F109" s="306">
        <f>HLOOKUP(E$78,'＜表示→コピペ＞活動計画まとめ'!$E$1:$I$202,$I108,FALSE)</f>
        <v>0</v>
      </c>
      <c r="G109" s="313">
        <f t="shared" si="30"/>
        <v>8.3333333333333329E-2</v>
      </c>
      <c r="H109" s="290">
        <v>8.3333333333333329E-2</v>
      </c>
      <c r="I109" s="282">
        <v>77</v>
      </c>
      <c r="K109" s="288" t="e">
        <f>HLOOKUP(K$78,'＜表示→コピペ＞活動計画まとめ'!$E$1:$I$202,$D108,FALSE)</f>
        <v>#N/A</v>
      </c>
      <c r="L109" s="293" t="e">
        <f>HLOOKUP(K$78,'＜表示→コピペ＞活動計画まとめ'!$E$1:$I$202,$I108,FALSE)</f>
        <v>#N/A</v>
      </c>
      <c r="M109" s="285" t="e">
        <f t="shared" si="31"/>
        <v>#N/A</v>
      </c>
      <c r="N109" s="290">
        <v>8.3333333333333329E-2</v>
      </c>
      <c r="P109" s="298"/>
      <c r="Q109" s="288" t="str">
        <f>HLOOKUP(Q$78,'＜表示→コピペ＞活動計画まとめ'!$E$1:$I$202,$D108,FALSE)</f>
        <v/>
      </c>
      <c r="R109" s="293">
        <f>HLOOKUP(Q$78,'＜表示→コピペ＞活動計画まとめ'!$E$1:$I$202,$I108,FALSE)</f>
        <v>0</v>
      </c>
      <c r="S109" s="285">
        <f t="shared" si="32"/>
        <v>8.3333333333333329E-2</v>
      </c>
      <c r="T109" s="290">
        <v>8.3333333333333329E-2</v>
      </c>
      <c r="U109" s="284"/>
      <c r="W109" s="288" t="str">
        <f>HLOOKUP(W$78,'＜表示→コピペ＞活動計画まとめ'!$E$1:$I$202,$D108,FALSE)</f>
        <v/>
      </c>
      <c r="X109" s="293">
        <f>HLOOKUP(W$78,'＜表示→コピペ＞活動計画まとめ'!$E$1:$I$202,$I108,FALSE)</f>
        <v>0</v>
      </c>
      <c r="Y109" s="285">
        <f t="shared" si="33"/>
        <v>8.3333333333333329E-2</v>
      </c>
      <c r="Z109" s="290">
        <v>8.3333333333333329E-2</v>
      </c>
      <c r="AA109" s="284"/>
      <c r="AC109" s="288" t="str">
        <f>HLOOKUP(AC$78,'＜表示→コピペ＞活動計画まとめ'!$E$1:$I$202,$D108,FALSE)</f>
        <v/>
      </c>
      <c r="AD109" s="293">
        <f>HLOOKUP(AC$78,'＜表示→コピペ＞活動計画まとめ'!$E$1:$I$202,$I108,FALSE)</f>
        <v>0</v>
      </c>
      <c r="AE109" s="285">
        <f t="shared" si="34"/>
        <v>8.3333333333333329E-2</v>
      </c>
      <c r="AF109" s="290">
        <v>8.3333333333333329E-2</v>
      </c>
    </row>
    <row r="110" spans="1:32" s="282" customFormat="1" ht="28.5" customHeight="1">
      <c r="A110" s="898"/>
      <c r="B110" s="891"/>
      <c r="C110" s="216" t="s">
        <v>10</v>
      </c>
      <c r="D110" s="282">
        <v>35</v>
      </c>
      <c r="E110" s="312" t="str">
        <f>HLOOKUP(E$78,'＜表示→コピペ＞活動計画まとめ'!$E$1:$I$202,$D109,FALSE)</f>
        <v/>
      </c>
      <c r="F110" s="306">
        <f>HLOOKUP(E$78,'＜表示→コピペ＞活動計画まとめ'!$E$1:$I$202,$I109,FALSE)</f>
        <v>0</v>
      </c>
      <c r="G110" s="313">
        <f t="shared" si="30"/>
        <v>8.3333333333333329E-2</v>
      </c>
      <c r="H110" s="290">
        <v>8.3333333333333329E-2</v>
      </c>
      <c r="I110" s="282">
        <v>78</v>
      </c>
      <c r="K110" s="292" t="e">
        <f>HLOOKUP(K$78,'＜表示→コピペ＞活動計画まとめ'!$E$1:$I$202,$D109,FALSE)</f>
        <v>#N/A</v>
      </c>
      <c r="L110" s="293" t="e">
        <f>HLOOKUP(K$78,'＜表示→コピペ＞活動計画まとめ'!$E$1:$I$202,$I109,FALSE)</f>
        <v>#N/A</v>
      </c>
      <c r="M110" s="285" t="e">
        <f t="shared" si="31"/>
        <v>#N/A</v>
      </c>
      <c r="N110" s="290">
        <v>8.3333333333333329E-2</v>
      </c>
      <c r="Q110" s="292" t="str">
        <f>HLOOKUP(Q$78,'＜表示→コピペ＞活動計画まとめ'!$E$1:$I$202,$D109,FALSE)</f>
        <v/>
      </c>
      <c r="R110" s="293">
        <f>HLOOKUP(Q$78,'＜表示→コピペ＞活動計画まとめ'!$E$1:$I$202,$I109,FALSE)</f>
        <v>0</v>
      </c>
      <c r="S110" s="285">
        <f t="shared" si="32"/>
        <v>8.3333333333333329E-2</v>
      </c>
      <c r="T110" s="290">
        <v>8.3333333333333329E-2</v>
      </c>
      <c r="U110" s="284"/>
      <c r="W110" s="292" t="str">
        <f>HLOOKUP(W$78,'＜表示→コピペ＞活動計画まとめ'!$E$1:$I$202,$D109,FALSE)</f>
        <v/>
      </c>
      <c r="X110" s="293">
        <f>HLOOKUP(W$78,'＜表示→コピペ＞活動計画まとめ'!$E$1:$I$202,$I109,FALSE)</f>
        <v>0</v>
      </c>
      <c r="Y110" s="285">
        <f t="shared" si="33"/>
        <v>8.3333333333333329E-2</v>
      </c>
      <c r="Z110" s="290">
        <v>8.3333333333333329E-2</v>
      </c>
      <c r="AA110" s="284"/>
      <c r="AC110" s="292" t="str">
        <f>HLOOKUP(AC$78,'＜表示→コピペ＞活動計画まとめ'!$E$1:$I$202,$D109,FALSE)</f>
        <v/>
      </c>
      <c r="AD110" s="293">
        <f>HLOOKUP(AC$78,'＜表示→コピペ＞活動計画まとめ'!$E$1:$I$202,$I109,FALSE)</f>
        <v>0</v>
      </c>
      <c r="AE110" s="285">
        <f t="shared" si="34"/>
        <v>8.3333333333333329E-2</v>
      </c>
      <c r="AF110" s="290">
        <v>8.3333333333333329E-2</v>
      </c>
    </row>
    <row r="111" spans="1:32" s="282" customFormat="1" ht="28.5" customHeight="1" thickBot="1">
      <c r="A111" s="898"/>
      <c r="B111" s="891"/>
      <c r="C111" s="216" t="s">
        <v>11</v>
      </c>
      <c r="D111" s="282">
        <v>36</v>
      </c>
      <c r="E111" s="312" t="str">
        <f>HLOOKUP(E$78,'＜表示→コピペ＞活動計画まとめ'!$E$1:$I$202,$D110,FALSE)</f>
        <v/>
      </c>
      <c r="F111" s="306">
        <f>HLOOKUP(E$78,'＜表示→コピペ＞活動計画まとめ'!$E$1:$I$202,$I110,FALSE)</f>
        <v>0</v>
      </c>
      <c r="G111" s="313">
        <f t="shared" si="30"/>
        <v>8.3333333333333329E-2</v>
      </c>
      <c r="H111" s="290">
        <v>8.3333333333333329E-2</v>
      </c>
      <c r="I111" s="282">
        <v>79</v>
      </c>
      <c r="K111" s="295" t="e">
        <f>HLOOKUP(K$78,'＜表示→コピペ＞活動計画まとめ'!$E$1:$I$202,$D110,FALSE)</f>
        <v>#N/A</v>
      </c>
      <c r="L111" s="293" t="e">
        <f>HLOOKUP(K$78,'＜表示→コピペ＞活動計画まとめ'!$E$1:$I$202,$I110,FALSE)</f>
        <v>#N/A</v>
      </c>
      <c r="M111" s="285" t="e">
        <f t="shared" si="31"/>
        <v>#N/A</v>
      </c>
      <c r="N111" s="290">
        <v>8.3333333333333329E-2</v>
      </c>
      <c r="Q111" s="295" t="str">
        <f>HLOOKUP(Q$78,'＜表示→コピペ＞活動計画まとめ'!$E$1:$I$202,$D110,FALSE)</f>
        <v/>
      </c>
      <c r="R111" s="293">
        <f>HLOOKUP(Q$78,'＜表示→コピペ＞活動計画まとめ'!$E$1:$I$202,$I110,FALSE)</f>
        <v>0</v>
      </c>
      <c r="S111" s="285">
        <f t="shared" si="32"/>
        <v>8.3333333333333329E-2</v>
      </c>
      <c r="T111" s="290">
        <v>8.3333333333333329E-2</v>
      </c>
      <c r="U111" s="284"/>
      <c r="W111" s="295" t="str">
        <f>HLOOKUP(W$78,'＜表示→コピペ＞活動計画まとめ'!$E$1:$I$202,$D110,FALSE)</f>
        <v/>
      </c>
      <c r="X111" s="293">
        <f>HLOOKUP(W$78,'＜表示→コピペ＞活動計画まとめ'!$E$1:$I$202,$I110,FALSE)</f>
        <v>0</v>
      </c>
      <c r="Y111" s="285">
        <f t="shared" si="33"/>
        <v>8.3333333333333329E-2</v>
      </c>
      <c r="Z111" s="290">
        <v>8.3333333333333329E-2</v>
      </c>
      <c r="AA111" s="284"/>
      <c r="AC111" s="295" t="str">
        <f>HLOOKUP(AC$78,'＜表示→コピペ＞活動計画まとめ'!$E$1:$I$202,$D110,FALSE)</f>
        <v/>
      </c>
      <c r="AD111" s="293">
        <f>HLOOKUP(AC$78,'＜表示→コピペ＞活動計画まとめ'!$E$1:$I$202,$I110,FALSE)</f>
        <v>0</v>
      </c>
      <c r="AE111" s="285">
        <f t="shared" si="34"/>
        <v>8.3333333333333329E-2</v>
      </c>
      <c r="AF111" s="290">
        <v>8.3333333333333329E-2</v>
      </c>
    </row>
    <row r="112" spans="1:32" s="282" customFormat="1" ht="28.5" customHeight="1" thickBot="1">
      <c r="A112" s="898"/>
      <c r="B112" s="891"/>
      <c r="C112" s="216" t="s">
        <v>12</v>
      </c>
      <c r="D112" s="282">
        <v>37</v>
      </c>
      <c r="E112" s="312" t="str">
        <f>HLOOKUP(E$78,'＜表示→コピペ＞活動計画まとめ'!$E$1:$I$202,$D111,FALSE)</f>
        <v/>
      </c>
      <c r="F112" s="306">
        <f>HLOOKUP(E$78,'＜表示→コピペ＞活動計画まとめ'!$E$1:$I$202,$I111,FALSE)</f>
        <v>0</v>
      </c>
      <c r="G112" s="313">
        <f t="shared" si="30"/>
        <v>8.3333333333333329E-2</v>
      </c>
      <c r="H112" s="290">
        <v>8.3333333333333329E-2</v>
      </c>
      <c r="I112" s="282">
        <v>80</v>
      </c>
      <c r="K112" s="288" t="e">
        <f>HLOOKUP(K$78,'＜表示→コピペ＞活動計画まとめ'!$E$1:$I$202,$D111,FALSE)</f>
        <v>#N/A</v>
      </c>
      <c r="L112" s="293" t="e">
        <f>HLOOKUP(K$78,'＜表示→コピペ＞活動計画まとめ'!$E$1:$I$202,$I111,FALSE)</f>
        <v>#N/A</v>
      </c>
      <c r="M112" s="285" t="e">
        <f t="shared" si="31"/>
        <v>#N/A</v>
      </c>
      <c r="N112" s="290">
        <v>8.3333333333333329E-2</v>
      </c>
      <c r="P112" s="298"/>
      <c r="Q112" s="288" t="str">
        <f>HLOOKUP(Q$78,'＜表示→コピペ＞活動計画まとめ'!$E$1:$I$202,$D111,FALSE)</f>
        <v/>
      </c>
      <c r="R112" s="293">
        <f>HLOOKUP(Q$78,'＜表示→コピペ＞活動計画まとめ'!$E$1:$I$202,$I111,FALSE)</f>
        <v>0</v>
      </c>
      <c r="S112" s="285">
        <f t="shared" si="32"/>
        <v>8.3333333333333329E-2</v>
      </c>
      <c r="T112" s="290">
        <v>8.3333333333333329E-2</v>
      </c>
      <c r="U112" s="284"/>
      <c r="W112" s="288" t="str">
        <f>HLOOKUP(W$78,'＜表示→コピペ＞活動計画まとめ'!$E$1:$I$202,$D111,FALSE)</f>
        <v/>
      </c>
      <c r="X112" s="293">
        <f>HLOOKUP(W$78,'＜表示→コピペ＞活動計画まとめ'!$E$1:$I$202,$I111,FALSE)</f>
        <v>0</v>
      </c>
      <c r="Y112" s="285">
        <f t="shared" si="33"/>
        <v>8.3333333333333329E-2</v>
      </c>
      <c r="Z112" s="290">
        <v>8.3333333333333329E-2</v>
      </c>
      <c r="AA112" s="284"/>
      <c r="AC112" s="288" t="str">
        <f>HLOOKUP(AC$78,'＜表示→コピペ＞活動計画まとめ'!$E$1:$I$202,$D111,FALSE)</f>
        <v/>
      </c>
      <c r="AD112" s="293">
        <f>HLOOKUP(AC$78,'＜表示→コピペ＞活動計画まとめ'!$E$1:$I$202,$I111,FALSE)</f>
        <v>0</v>
      </c>
      <c r="AE112" s="285">
        <f t="shared" si="34"/>
        <v>8.3333333333333329E-2</v>
      </c>
      <c r="AF112" s="290">
        <v>8.3333333333333329E-2</v>
      </c>
    </row>
    <row r="113" spans="1:32" ht="33" customHeight="1" thickBot="1">
      <c r="A113" s="898"/>
      <c r="B113" s="891"/>
      <c r="C113" s="216" t="s">
        <v>13</v>
      </c>
      <c r="D113" s="282">
        <v>38</v>
      </c>
      <c r="E113" s="312" t="str">
        <f>HLOOKUP(E$78,'＜表示→コピペ＞活動計画まとめ'!$E$1:$I$202,$D112,FALSE)</f>
        <v/>
      </c>
      <c r="F113" s="306">
        <f>HLOOKUP(E$78,'＜表示→コピペ＞活動計画まとめ'!$E$1:$I$202,$I112,FALSE)</f>
        <v>0</v>
      </c>
      <c r="G113" s="313">
        <f t="shared" si="30"/>
        <v>8.3333333333333329E-2</v>
      </c>
      <c r="H113" s="290">
        <v>8.3333333333333329E-2</v>
      </c>
      <c r="I113" s="282">
        <v>81</v>
      </c>
      <c r="K113" s="288" t="e">
        <f>HLOOKUP(K$78,'＜表示→コピペ＞活動計画まとめ'!$E$1:$I$202,$D112,FALSE)</f>
        <v>#N/A</v>
      </c>
      <c r="L113" s="293" t="e">
        <f>HLOOKUP(K$78,'＜表示→コピペ＞活動計画まとめ'!$E$1:$I$202,$I112,FALSE)</f>
        <v>#N/A</v>
      </c>
      <c r="M113" s="285" t="e">
        <f t="shared" si="31"/>
        <v>#N/A</v>
      </c>
      <c r="N113" s="290">
        <v>8.3333333333333329E-2</v>
      </c>
      <c r="Q113" t="str">
        <f>HLOOKUP(Q$78,'＜表示→コピペ＞活動計画まとめ'!$E$1:$I$202,$D112,FALSE)</f>
        <v/>
      </c>
      <c r="R113" s="293">
        <f>HLOOKUP(Q$78,'＜表示→コピペ＞活動計画まとめ'!$E$1:$I$202,$I112,FALSE)</f>
        <v>0</v>
      </c>
      <c r="S113" s="285">
        <f t="shared" si="32"/>
        <v>8.3333333333333329E-2</v>
      </c>
      <c r="T113" s="290">
        <v>8.3333333333333329E-2</v>
      </c>
      <c r="W113" t="str">
        <f>HLOOKUP(W$78,'＜表示→コピペ＞活動計画まとめ'!$E$1:$I$202,$D112,FALSE)</f>
        <v/>
      </c>
      <c r="X113" s="293">
        <f>HLOOKUP(W$78,'＜表示→コピペ＞活動計画まとめ'!$E$1:$I$202,$I112,FALSE)</f>
        <v>0</v>
      </c>
      <c r="Y113" s="285">
        <f t="shared" si="33"/>
        <v>8.3333333333333329E-2</v>
      </c>
      <c r="Z113" s="290">
        <v>8.3333333333333329E-2</v>
      </c>
      <c r="AC113" t="str">
        <f>HLOOKUP(AC$78,'＜表示→コピペ＞活動計画まとめ'!$E$1:$I$202,$D112,FALSE)</f>
        <v/>
      </c>
      <c r="AD113" s="293">
        <f>HLOOKUP(AC$78,'＜表示→コピペ＞活動計画まとめ'!$E$1:$I$202,$I112,FALSE)</f>
        <v>0</v>
      </c>
      <c r="AE113" s="285">
        <f t="shared" si="34"/>
        <v>8.3333333333333329E-2</v>
      </c>
      <c r="AF113" s="290">
        <v>8.3333333333333329E-2</v>
      </c>
    </row>
    <row r="114" spans="1:32" ht="33" customHeight="1" thickBot="1">
      <c r="A114" s="898"/>
      <c r="B114" s="891"/>
      <c r="C114" s="216" t="s">
        <v>14</v>
      </c>
      <c r="D114" s="282">
        <v>39</v>
      </c>
      <c r="E114" s="312" t="str">
        <f>HLOOKUP(E$78,'＜表示→コピペ＞活動計画まとめ'!$E$1:$I$202,$D113,FALSE)</f>
        <v/>
      </c>
      <c r="F114" s="307">
        <f>HLOOKUP(E$78,'＜表示→コピペ＞活動計画まとめ'!$E$1:$I$202,$I113,FALSE)</f>
        <v>0</v>
      </c>
      <c r="G114" s="313">
        <f t="shared" si="30"/>
        <v>8.3333333333333329E-2</v>
      </c>
      <c r="H114" s="290">
        <v>8.3333333333333329E-2</v>
      </c>
      <c r="I114" s="282">
        <v>82</v>
      </c>
      <c r="K114" s="288" t="e">
        <f>HLOOKUP(K$78,'＜表示→コピペ＞活動計画まとめ'!$E$1:$I$202,$D113,FALSE)</f>
        <v>#N/A</v>
      </c>
      <c r="L114" s="285" t="e">
        <f>HLOOKUP(K$78,'＜表示→コピペ＞活動計画まとめ'!$E$1:$I$202,$I113,FALSE)</f>
        <v>#N/A</v>
      </c>
      <c r="M114" s="285" t="e">
        <f t="shared" si="31"/>
        <v>#N/A</v>
      </c>
      <c r="N114" s="290">
        <v>8.3333333333333329E-2</v>
      </c>
      <c r="Q114" t="str">
        <f>HLOOKUP(Q$78,'＜表示→コピペ＞活動計画まとめ'!$E$1:$I$202,$D113,FALSE)</f>
        <v/>
      </c>
      <c r="R114" s="285">
        <f>HLOOKUP(Q$78,'＜表示→コピペ＞活動計画まとめ'!$E$1:$I$202,$I113,FALSE)</f>
        <v>0</v>
      </c>
      <c r="S114" s="285">
        <f t="shared" si="32"/>
        <v>8.3333333333333329E-2</v>
      </c>
      <c r="T114" s="290">
        <v>8.3333333333333329E-2</v>
      </c>
      <c r="W114" t="str">
        <f>HLOOKUP(W$78,'＜表示→コピペ＞活動計画まとめ'!$E$1:$I$202,$D113,FALSE)</f>
        <v/>
      </c>
      <c r="X114" s="285">
        <f>HLOOKUP(W$78,'＜表示→コピペ＞活動計画まとめ'!$E$1:$I$202,$I113,FALSE)</f>
        <v>0</v>
      </c>
      <c r="Y114" s="285">
        <f t="shared" si="33"/>
        <v>8.3333333333333329E-2</v>
      </c>
      <c r="Z114" s="290">
        <v>8.3333333333333329E-2</v>
      </c>
      <c r="AC114" t="str">
        <f>HLOOKUP(AC$78,'＜表示→コピペ＞活動計画まとめ'!$E$1:$I$202,$D113,FALSE)</f>
        <v/>
      </c>
      <c r="AD114" s="285">
        <f>HLOOKUP(AC$78,'＜表示→コピペ＞活動計画まとめ'!$E$1:$I$202,$I113,FALSE)</f>
        <v>0</v>
      </c>
      <c r="AE114" s="285">
        <f t="shared" si="34"/>
        <v>8.3333333333333329E-2</v>
      </c>
      <c r="AF114" s="290">
        <v>8.3333333333333329E-2</v>
      </c>
    </row>
    <row r="115" spans="1:32" ht="33" customHeight="1" thickBot="1">
      <c r="A115" s="898"/>
      <c r="B115" s="891"/>
      <c r="C115" s="216" t="s">
        <v>22</v>
      </c>
      <c r="D115" s="282">
        <v>40</v>
      </c>
      <c r="E115" s="314" t="str">
        <f>HLOOKUP(E$78,'＜表示→コピペ＞活動計画まとめ'!$E$1:$I$202,$D114,FALSE)</f>
        <v/>
      </c>
      <c r="F115" s="318">
        <f>HLOOKUP(E$78,'＜表示→コピペ＞活動計画まとめ'!$E$1:$I$202,$I114,FALSE)</f>
        <v>0</v>
      </c>
      <c r="G115" s="316">
        <f t="shared" si="30"/>
        <v>8.3333333333333329E-2</v>
      </c>
      <c r="H115" s="290">
        <v>8.3333333333333329E-2</v>
      </c>
      <c r="I115" s="282">
        <v>83</v>
      </c>
      <c r="K115" s="288" t="e">
        <f>HLOOKUP(K$78,'＜表示→コピペ＞活動計画まとめ'!$E$1:$I$202,$D114,FALSE)</f>
        <v>#N/A</v>
      </c>
      <c r="L115" s="285" t="e">
        <f>HLOOKUP(K$78,'＜表示→コピペ＞活動計画まとめ'!$E$1:$I$202,$I114,FALSE)</f>
        <v>#N/A</v>
      </c>
      <c r="M115" s="285" t="e">
        <f t="shared" si="31"/>
        <v>#N/A</v>
      </c>
      <c r="N115" s="290">
        <v>8.3333333333333329E-2</v>
      </c>
      <c r="Q115" t="str">
        <f>HLOOKUP(Q$78,'＜表示→コピペ＞活動計画まとめ'!$E$1:$I$202,$D114,FALSE)</f>
        <v/>
      </c>
      <c r="R115" s="285">
        <f>HLOOKUP(Q$78,'＜表示→コピペ＞活動計画まとめ'!$E$1:$I$202,$I114,FALSE)</f>
        <v>0</v>
      </c>
      <c r="S115" s="285">
        <f t="shared" si="32"/>
        <v>8.3333333333333329E-2</v>
      </c>
      <c r="T115" s="290">
        <v>8.3333333333333329E-2</v>
      </c>
      <c r="W115" t="str">
        <f>HLOOKUP(W$78,'＜表示→コピペ＞活動計画まとめ'!$E$1:$I$202,$D114,FALSE)</f>
        <v/>
      </c>
      <c r="X115" s="285">
        <f>HLOOKUP(W$78,'＜表示→コピペ＞活動計画まとめ'!$E$1:$I$202,$I114,FALSE)</f>
        <v>0</v>
      </c>
      <c r="Y115" s="285">
        <f t="shared" si="33"/>
        <v>8.3333333333333329E-2</v>
      </c>
      <c r="Z115" s="290">
        <v>8.3333333333333329E-2</v>
      </c>
      <c r="AC115" t="str">
        <f>HLOOKUP(AC$78,'＜表示→コピペ＞活動計画まとめ'!$E$1:$I$202,$D114,FALSE)</f>
        <v/>
      </c>
      <c r="AD115" s="285">
        <f>HLOOKUP(AC$78,'＜表示→コピペ＞活動計画まとめ'!$E$1:$I$202,$I114,FALSE)</f>
        <v>0</v>
      </c>
      <c r="AE115" s="285">
        <f t="shared" si="34"/>
        <v>8.3333333333333329E-2</v>
      </c>
      <c r="AF115" s="290">
        <v>8.3333333333333329E-2</v>
      </c>
    </row>
    <row r="116" spans="1:32" ht="33" customHeight="1" thickBot="1">
      <c r="A116" s="898"/>
      <c r="B116" s="895" t="s">
        <v>275</v>
      </c>
      <c r="C116" s="216" t="s">
        <v>349</v>
      </c>
      <c r="D116" s="282">
        <v>41</v>
      </c>
      <c r="E116" s="309" t="str">
        <f>HLOOKUP(E$78,'＜表示→コピペ＞活動計画まとめ'!$E$1:$I$202,$D115,FALSE)</f>
        <v/>
      </c>
      <c r="F116" s="319">
        <f>HLOOKUP(E$78,'＜表示→コピペ＞活動計画まとめ'!$E$1:$I$202,$I115,FALSE)</f>
        <v>0</v>
      </c>
      <c r="G116" s="311">
        <f>F126</f>
        <v>0</v>
      </c>
      <c r="H116" s="290"/>
      <c r="I116" s="282">
        <v>84</v>
      </c>
      <c r="K116" s="288" t="e">
        <f>HLOOKUP(K$78,'＜表示→コピペ＞活動計画まとめ'!$E$1:$I$202,$D115,FALSE)</f>
        <v>#N/A</v>
      </c>
      <c r="L116" s="285" t="e">
        <f>HLOOKUP(K$78,'＜表示→コピペ＞活動計画まとめ'!$E$1:$I$202,$I115,FALSE)</f>
        <v>#N/A</v>
      </c>
      <c r="M116" s="285" t="e">
        <f>L126</f>
        <v>#N/A</v>
      </c>
      <c r="N116" s="290"/>
      <c r="Q116" t="str">
        <f>HLOOKUP(Q$78,'＜表示→コピペ＞活動計画まとめ'!$E$1:$I$202,$D115,FALSE)</f>
        <v/>
      </c>
      <c r="R116" s="285">
        <f>HLOOKUP(Q$78,'＜表示→コピペ＞活動計画まとめ'!$E$1:$I$202,$I115,FALSE)</f>
        <v>0</v>
      </c>
      <c r="S116" s="285">
        <f>R126</f>
        <v>0</v>
      </c>
      <c r="T116" s="290"/>
      <c r="W116" t="str">
        <f>HLOOKUP(W$78,'＜表示→コピペ＞活動計画まとめ'!$E$1:$I$202,$D115,FALSE)</f>
        <v/>
      </c>
      <c r="X116" s="285">
        <f>HLOOKUP(W$78,'＜表示→コピペ＞活動計画まとめ'!$E$1:$I$202,$I115,FALSE)</f>
        <v>0</v>
      </c>
      <c r="Y116" s="285">
        <f>X126</f>
        <v>0</v>
      </c>
      <c r="Z116" s="290"/>
      <c r="AC116" t="str">
        <f>HLOOKUP(AC$78,'＜表示→コピペ＞活動計画まとめ'!$E$1:$I$202,$D115,FALSE)</f>
        <v/>
      </c>
      <c r="AD116" s="285">
        <f>HLOOKUP(AC$78,'＜表示→コピペ＞活動計画まとめ'!$E$1:$I$202,$I115,FALSE)</f>
        <v>0</v>
      </c>
      <c r="AE116" s="285">
        <f>AD126</f>
        <v>0</v>
      </c>
      <c r="AF116" s="290"/>
    </row>
    <row r="117" spans="1:32" ht="33" customHeight="1" thickBot="1">
      <c r="A117" s="898"/>
      <c r="B117" s="896"/>
      <c r="C117" s="216" t="s">
        <v>350</v>
      </c>
      <c r="D117" s="282">
        <v>42</v>
      </c>
      <c r="E117" s="312" t="str">
        <f>HLOOKUP(E$78,'＜表示→コピペ＞活動計画まとめ'!$E$1:$I$202,$D116,FALSE)</f>
        <v/>
      </c>
      <c r="F117" s="307">
        <f>HLOOKUP(E$78,'＜表示→コピペ＞活動計画まとめ'!$E$1:$I$202,$I116,FALSE)</f>
        <v>0</v>
      </c>
      <c r="G117" s="313">
        <f t="shared" ref="G117:G119" si="36">F127</f>
        <v>0</v>
      </c>
      <c r="H117" s="290"/>
      <c r="I117" s="282">
        <v>85</v>
      </c>
      <c r="K117" s="288" t="e">
        <f>HLOOKUP(K$78,'＜表示→コピペ＞活動計画まとめ'!$E$1:$I$202,$D116,FALSE)</f>
        <v>#N/A</v>
      </c>
      <c r="L117" s="285" t="e">
        <f>HLOOKUP(K$78,'＜表示→コピペ＞活動計画まとめ'!$E$1:$I$202,$I116,FALSE)</f>
        <v>#N/A</v>
      </c>
      <c r="M117" s="285" t="e">
        <f t="shared" ref="M117:M119" si="37">L127</f>
        <v>#N/A</v>
      </c>
      <c r="N117" s="290"/>
      <c r="Q117" t="str">
        <f>HLOOKUP(Q$78,'＜表示→コピペ＞活動計画まとめ'!$E$1:$I$202,$D116,FALSE)</f>
        <v/>
      </c>
      <c r="R117" s="285">
        <f>HLOOKUP(Q$78,'＜表示→コピペ＞活動計画まとめ'!$E$1:$I$202,$I116,FALSE)</f>
        <v>0</v>
      </c>
      <c r="S117" s="285">
        <f t="shared" ref="S117:S119" si="38">R127</f>
        <v>0</v>
      </c>
      <c r="T117" s="290"/>
      <c r="W117" t="str">
        <f>HLOOKUP(W$78,'＜表示→コピペ＞活動計画まとめ'!$E$1:$I$202,$D116,FALSE)</f>
        <v/>
      </c>
      <c r="X117" s="285">
        <f>HLOOKUP(W$78,'＜表示→コピペ＞活動計画まとめ'!$E$1:$I$202,$I116,FALSE)</f>
        <v>0</v>
      </c>
      <c r="Y117" s="285">
        <f t="shared" ref="Y117:Y119" si="39">X127</f>
        <v>0</v>
      </c>
      <c r="Z117" s="290"/>
      <c r="AC117" t="str">
        <f>HLOOKUP(AC$78,'＜表示→コピペ＞活動計画まとめ'!$E$1:$I$202,$D116,FALSE)</f>
        <v/>
      </c>
      <c r="AD117" s="285">
        <f>HLOOKUP(AC$78,'＜表示→コピペ＞活動計画まとめ'!$E$1:$I$202,$I116,FALSE)</f>
        <v>0</v>
      </c>
      <c r="AE117" s="285">
        <f t="shared" ref="AE117:AE119" si="40">AD127</f>
        <v>0</v>
      </c>
      <c r="AF117" s="290"/>
    </row>
    <row r="118" spans="1:32" ht="33" customHeight="1" thickBot="1">
      <c r="A118" s="898"/>
      <c r="B118" s="896"/>
      <c r="C118" s="216" t="s">
        <v>351</v>
      </c>
      <c r="D118" s="282">
        <v>43</v>
      </c>
      <c r="E118" s="312" t="str">
        <f>HLOOKUP(E$78,'＜表示→コピペ＞活動計画まとめ'!$E$1:$I$202,$D117,FALSE)</f>
        <v/>
      </c>
      <c r="F118" s="307">
        <f>HLOOKUP(E$78,'＜表示→コピペ＞活動計画まとめ'!$E$1:$I$202,$I117,FALSE)</f>
        <v>0</v>
      </c>
      <c r="G118" s="313">
        <f t="shared" si="36"/>
        <v>0</v>
      </c>
      <c r="H118" s="290"/>
      <c r="I118" s="282">
        <v>86</v>
      </c>
      <c r="K118" s="288" t="e">
        <f>HLOOKUP(K$78,'＜表示→コピペ＞活動計画まとめ'!$E$1:$I$202,$D117,FALSE)</f>
        <v>#N/A</v>
      </c>
      <c r="L118" s="285" t="e">
        <f>HLOOKUP(K$78,'＜表示→コピペ＞活動計画まとめ'!$E$1:$I$202,$I117,FALSE)</f>
        <v>#N/A</v>
      </c>
      <c r="M118" s="285" t="e">
        <f t="shared" si="37"/>
        <v>#N/A</v>
      </c>
      <c r="N118" s="290"/>
      <c r="Q118" t="str">
        <f>HLOOKUP(Q$78,'＜表示→コピペ＞活動計画まとめ'!$E$1:$I$202,$D117,FALSE)</f>
        <v/>
      </c>
      <c r="R118" s="285">
        <f>HLOOKUP(Q$78,'＜表示→コピペ＞活動計画まとめ'!$E$1:$I$202,$I117,FALSE)</f>
        <v>0</v>
      </c>
      <c r="S118" s="285">
        <f t="shared" si="38"/>
        <v>0</v>
      </c>
      <c r="T118" s="290"/>
      <c r="W118" t="str">
        <f>HLOOKUP(W$78,'＜表示→コピペ＞活動計画まとめ'!$E$1:$I$202,$D117,FALSE)</f>
        <v/>
      </c>
      <c r="X118" s="285">
        <f>HLOOKUP(W$78,'＜表示→コピペ＞活動計画まとめ'!$E$1:$I$202,$I117,FALSE)</f>
        <v>0</v>
      </c>
      <c r="Y118" s="285">
        <f t="shared" si="39"/>
        <v>0</v>
      </c>
      <c r="Z118" s="290"/>
      <c r="AC118" t="str">
        <f>HLOOKUP(AC$78,'＜表示→コピペ＞活動計画まとめ'!$E$1:$I$202,$D117,FALSE)</f>
        <v/>
      </c>
      <c r="AD118" s="285">
        <f>HLOOKUP(AC$78,'＜表示→コピペ＞活動計画まとめ'!$E$1:$I$202,$I117,FALSE)</f>
        <v>0</v>
      </c>
      <c r="AE118" s="285">
        <f t="shared" si="40"/>
        <v>0</v>
      </c>
      <c r="AF118" s="290"/>
    </row>
    <row r="119" spans="1:32" ht="33" customHeight="1" thickBot="1">
      <c r="A119" s="898"/>
      <c r="B119" s="897"/>
      <c r="C119" s="216" t="s">
        <v>352</v>
      </c>
      <c r="D119" s="282">
        <v>44</v>
      </c>
      <c r="E119" s="314" t="str">
        <f>HLOOKUP(E$78,'＜表示→コピペ＞活動計画まとめ'!$E$1:$I$202,$D118,FALSE)</f>
        <v/>
      </c>
      <c r="F119" s="318">
        <f>HLOOKUP(E$78,'＜表示→コピペ＞活動計画まとめ'!$E$1:$I$202,$I118,FALSE)</f>
        <v>0</v>
      </c>
      <c r="G119" s="316">
        <f t="shared" si="36"/>
        <v>0</v>
      </c>
      <c r="H119" s="290"/>
      <c r="I119" s="282">
        <v>87</v>
      </c>
      <c r="K119" s="288" t="e">
        <f>HLOOKUP(K$78,'＜表示→コピペ＞活動計画まとめ'!$E$1:$I$202,$D118,FALSE)</f>
        <v>#N/A</v>
      </c>
      <c r="L119" s="285" t="e">
        <f>HLOOKUP(K$78,'＜表示→コピペ＞活動計画まとめ'!$E$1:$I$202,$I118,FALSE)</f>
        <v>#N/A</v>
      </c>
      <c r="M119" s="285" t="e">
        <f t="shared" si="37"/>
        <v>#N/A</v>
      </c>
      <c r="N119" s="290"/>
      <c r="Q119" t="str">
        <f>HLOOKUP(Q$78,'＜表示→コピペ＞活動計画まとめ'!$E$1:$I$202,$D118,FALSE)</f>
        <v/>
      </c>
      <c r="R119" s="285">
        <f>HLOOKUP(Q$78,'＜表示→コピペ＞活動計画まとめ'!$E$1:$I$202,$I118,FALSE)</f>
        <v>0</v>
      </c>
      <c r="S119" s="285">
        <f t="shared" si="38"/>
        <v>0</v>
      </c>
      <c r="T119" s="290"/>
      <c r="W119" t="str">
        <f>HLOOKUP(W$78,'＜表示→コピペ＞活動計画まとめ'!$E$1:$I$202,$D118,FALSE)</f>
        <v/>
      </c>
      <c r="X119" s="285">
        <f>HLOOKUP(W$78,'＜表示→コピペ＞活動計画まとめ'!$E$1:$I$202,$I118,FALSE)</f>
        <v>0</v>
      </c>
      <c r="Y119" s="285">
        <f t="shared" si="39"/>
        <v>0</v>
      </c>
      <c r="Z119" s="290"/>
      <c r="AC119" t="str">
        <f>HLOOKUP(AC$78,'＜表示→コピペ＞活動計画まとめ'!$E$1:$I$202,$D118,FALSE)</f>
        <v/>
      </c>
      <c r="AD119" s="285">
        <f>HLOOKUP(AC$78,'＜表示→コピペ＞活動計画まとめ'!$E$1:$I$202,$I118,FALSE)</f>
        <v>0</v>
      </c>
      <c r="AE119" s="285">
        <f t="shared" si="40"/>
        <v>0</v>
      </c>
      <c r="AF119" s="290"/>
    </row>
    <row r="120" spans="1:32" ht="33" customHeight="1" thickBot="1">
      <c r="A120" s="898"/>
      <c r="B120" s="891" t="s">
        <v>344</v>
      </c>
      <c r="C120" s="300" t="s">
        <v>233</v>
      </c>
      <c r="D120" s="282">
        <v>45</v>
      </c>
      <c r="E120" s="309" t="str">
        <f>HLOOKUP(E$78,'＜表示→コピペ＞活動計画まとめ'!$E$1:$I$202,$D119,FALSE)</f>
        <v/>
      </c>
      <c r="F120" s="319">
        <f>HLOOKUP(E$78,'＜表示→コピペ＞活動計画まとめ'!$E$1:$I$202,$I119,FALSE)</f>
        <v>0</v>
      </c>
      <c r="G120" s="311">
        <f t="shared" si="30"/>
        <v>1.0416666666666666E-2</v>
      </c>
      <c r="H120" s="290">
        <v>1.0416666666666666E-2</v>
      </c>
      <c r="I120" s="282">
        <v>88</v>
      </c>
      <c r="K120" s="288" t="e">
        <f>HLOOKUP(K$78,'＜表示→コピペ＞活動計画まとめ'!$E$1:$I$202,$D119,FALSE)</f>
        <v>#N/A</v>
      </c>
      <c r="L120" s="285" t="e">
        <f>HLOOKUP(K$78,'＜表示→コピペ＞活動計画まとめ'!$E$1:$I$202,$I119,FALSE)</f>
        <v>#N/A</v>
      </c>
      <c r="M120" s="285" t="e">
        <f t="shared" si="31"/>
        <v>#N/A</v>
      </c>
      <c r="N120" s="290">
        <v>1.0416666666666666E-2</v>
      </c>
      <c r="Q120" t="str">
        <f>HLOOKUP(Q$78,'＜表示→コピペ＞活動計画まとめ'!$E$1:$I$202,$D119,FALSE)</f>
        <v/>
      </c>
      <c r="R120" s="285">
        <f>HLOOKUP(Q$78,'＜表示→コピペ＞活動計画まとめ'!$E$1:$I$202,$I119,FALSE)</f>
        <v>0</v>
      </c>
      <c r="S120" s="285">
        <f t="shared" si="32"/>
        <v>1.0416666666666666E-2</v>
      </c>
      <c r="T120" s="290">
        <v>1.0416666666666666E-2</v>
      </c>
      <c r="W120" t="str">
        <f>HLOOKUP(W$78,'＜表示→コピペ＞活動計画まとめ'!$E$1:$I$202,$D119,FALSE)</f>
        <v/>
      </c>
      <c r="X120" s="285">
        <f>HLOOKUP(W$78,'＜表示→コピペ＞活動計画まとめ'!$E$1:$I$202,$I119,FALSE)</f>
        <v>0</v>
      </c>
      <c r="Y120" s="285">
        <f t="shared" si="33"/>
        <v>1.0416666666666666E-2</v>
      </c>
      <c r="Z120" s="290">
        <v>1.0416666666666666E-2</v>
      </c>
      <c r="AC120" t="str">
        <f>HLOOKUP(AC$78,'＜表示→コピペ＞活動計画まとめ'!$E$1:$I$202,$D119,FALSE)</f>
        <v/>
      </c>
      <c r="AD120" s="285">
        <f>HLOOKUP(AC$78,'＜表示→コピペ＞活動計画まとめ'!$E$1:$I$202,$I119,FALSE)</f>
        <v>0</v>
      </c>
      <c r="AE120" s="285">
        <f t="shared" si="34"/>
        <v>1.0416666666666666E-2</v>
      </c>
      <c r="AF120" s="290">
        <v>1.0416666666666666E-2</v>
      </c>
    </row>
    <row r="121" spans="1:32" ht="33" customHeight="1" thickBot="1">
      <c r="A121" s="898"/>
      <c r="B121" s="891"/>
      <c r="C121" s="300" t="s">
        <v>14</v>
      </c>
      <c r="D121" s="282">
        <v>46</v>
      </c>
      <c r="E121" s="312" t="str">
        <f>HLOOKUP(E$78,'＜表示→コピペ＞活動計画まとめ'!$E$1:$I$202,$D120,FALSE)</f>
        <v/>
      </c>
      <c r="F121" s="307">
        <f>HLOOKUP(E$78,'＜表示→コピペ＞活動計画まとめ'!$E$1:$I$202,$I120,FALSE)</f>
        <v>0</v>
      </c>
      <c r="G121" s="313">
        <f t="shared" si="30"/>
        <v>1.0416666666666666E-2</v>
      </c>
      <c r="H121" s="290">
        <v>1.0416666666666666E-2</v>
      </c>
      <c r="I121" s="282">
        <v>89</v>
      </c>
      <c r="K121" s="288" t="e">
        <f>HLOOKUP(K$78,'＜表示→コピペ＞活動計画まとめ'!$E$1:$I$202,$D120,FALSE)</f>
        <v>#N/A</v>
      </c>
      <c r="L121" s="285" t="e">
        <f>HLOOKUP(K$78,'＜表示→コピペ＞活動計画まとめ'!$E$1:$I$202,$I120,FALSE)</f>
        <v>#N/A</v>
      </c>
      <c r="M121" s="285" t="e">
        <f t="shared" si="31"/>
        <v>#N/A</v>
      </c>
      <c r="N121" s="290">
        <v>1.0416666666666666E-2</v>
      </c>
      <c r="Q121" t="str">
        <f>HLOOKUP(Q$78,'＜表示→コピペ＞活動計画まとめ'!$E$1:$I$202,$D120,FALSE)</f>
        <v/>
      </c>
      <c r="R121" s="285">
        <f>HLOOKUP(Q$78,'＜表示→コピペ＞活動計画まとめ'!$E$1:$I$202,$I120,FALSE)</f>
        <v>0</v>
      </c>
      <c r="S121" s="285">
        <f t="shared" si="32"/>
        <v>1.0416666666666666E-2</v>
      </c>
      <c r="T121" s="290">
        <v>1.0416666666666666E-2</v>
      </c>
      <c r="W121" t="str">
        <f>HLOOKUP(W$78,'＜表示→コピペ＞活動計画まとめ'!$E$1:$I$202,$D120,FALSE)</f>
        <v/>
      </c>
      <c r="X121" s="285">
        <f>HLOOKUP(W$78,'＜表示→コピペ＞活動計画まとめ'!$E$1:$I$202,$I120,FALSE)</f>
        <v>0</v>
      </c>
      <c r="Y121" s="285">
        <f t="shared" si="33"/>
        <v>1.0416666666666666E-2</v>
      </c>
      <c r="Z121" s="290">
        <v>1.0416666666666666E-2</v>
      </c>
      <c r="AC121" t="str">
        <f>HLOOKUP(AC$78,'＜表示→コピペ＞活動計画まとめ'!$E$1:$I$202,$D120,FALSE)</f>
        <v/>
      </c>
      <c r="AD121" s="285">
        <f>HLOOKUP(AC$78,'＜表示→コピペ＞活動計画まとめ'!$E$1:$I$202,$I120,FALSE)</f>
        <v>0</v>
      </c>
      <c r="AE121" s="285">
        <f t="shared" si="34"/>
        <v>1.0416666666666666E-2</v>
      </c>
      <c r="AF121" s="290">
        <v>1.0416666666666666E-2</v>
      </c>
    </row>
    <row r="122" spans="1:32" ht="33" customHeight="1" thickBot="1">
      <c r="A122" s="898"/>
      <c r="B122" s="891"/>
      <c r="C122" s="300"/>
      <c r="D122" s="282">
        <v>47</v>
      </c>
      <c r="E122" s="312" t="str">
        <f>HLOOKUP(E$78,'＜表示→コピペ＞活動計画まとめ'!$E$1:$I$202,$D121,FALSE)</f>
        <v/>
      </c>
      <c r="F122" s="307">
        <f>HLOOKUP(E$78,'＜表示→コピペ＞活動計画まとめ'!$E$1:$I$202,$I121,FALSE)</f>
        <v>0</v>
      </c>
      <c r="G122" s="313">
        <f t="shared" si="30"/>
        <v>1.0416666666666666E-2</v>
      </c>
      <c r="H122" s="290">
        <v>1.0416666666666666E-2</v>
      </c>
      <c r="I122" s="282">
        <v>90</v>
      </c>
      <c r="K122" s="288" t="e">
        <f>HLOOKUP(K$78,'＜表示→コピペ＞活動計画まとめ'!$E$1:$I$202,$D121,FALSE)</f>
        <v>#N/A</v>
      </c>
      <c r="L122" s="285" t="e">
        <f>HLOOKUP(K$78,'＜表示→コピペ＞活動計画まとめ'!$E$1:$I$202,$I121,FALSE)</f>
        <v>#N/A</v>
      </c>
      <c r="M122" s="285" t="e">
        <f t="shared" si="31"/>
        <v>#N/A</v>
      </c>
      <c r="N122" s="290">
        <v>1.0416666666666666E-2</v>
      </c>
      <c r="Q122" t="str">
        <f>HLOOKUP(Q$78,'＜表示→コピペ＞活動計画まとめ'!$E$1:$I$202,$D121,FALSE)</f>
        <v/>
      </c>
      <c r="R122" s="285">
        <f>HLOOKUP(Q$78,'＜表示→コピペ＞活動計画まとめ'!$E$1:$I$202,$I121,FALSE)</f>
        <v>0</v>
      </c>
      <c r="S122" s="285">
        <f t="shared" si="32"/>
        <v>1.0416666666666666E-2</v>
      </c>
      <c r="T122" s="290">
        <v>1.0416666666666666E-2</v>
      </c>
      <c r="W122" t="str">
        <f>HLOOKUP(W$78,'＜表示→コピペ＞活動計画まとめ'!$E$1:$I$202,$D121,FALSE)</f>
        <v/>
      </c>
      <c r="X122" s="285">
        <f>HLOOKUP(W$78,'＜表示→コピペ＞活動計画まとめ'!$E$1:$I$202,$I121,FALSE)</f>
        <v>0</v>
      </c>
      <c r="Y122" s="285">
        <f t="shared" si="33"/>
        <v>1.0416666666666666E-2</v>
      </c>
      <c r="Z122" s="290">
        <v>1.0416666666666666E-2</v>
      </c>
      <c r="AC122" t="str">
        <f>HLOOKUP(AC$78,'＜表示→コピペ＞活動計画まとめ'!$E$1:$I$202,$D121,FALSE)</f>
        <v/>
      </c>
      <c r="AD122" s="285">
        <f>HLOOKUP(AC$78,'＜表示→コピペ＞活動計画まとめ'!$E$1:$I$202,$I121,FALSE)</f>
        <v>0</v>
      </c>
      <c r="AE122" s="285">
        <f t="shared" si="34"/>
        <v>1.0416666666666666E-2</v>
      </c>
      <c r="AF122" s="290">
        <v>1.0416666666666666E-2</v>
      </c>
    </row>
    <row r="123" spans="1:32" ht="33" customHeight="1" thickBot="1">
      <c r="A123" s="898"/>
      <c r="B123" s="891"/>
      <c r="C123" s="300"/>
      <c r="D123" s="282">
        <v>48</v>
      </c>
      <c r="E123" s="314" t="str">
        <f>HLOOKUP(E$78,'＜表示→コピペ＞活動計画まとめ'!$E$1:$I$202,$D122,FALSE)</f>
        <v/>
      </c>
      <c r="F123" s="318">
        <f>HLOOKUP(E$78,'＜表示→コピペ＞活動計画まとめ'!$E$1:$I$202,$I122,FALSE)</f>
        <v>0</v>
      </c>
      <c r="G123" s="316">
        <f t="shared" si="30"/>
        <v>1.0416666666666666E-2</v>
      </c>
      <c r="H123" s="290">
        <v>1.0416666666666666E-2</v>
      </c>
      <c r="I123" s="282">
        <v>91</v>
      </c>
      <c r="K123" s="288" t="e">
        <f>HLOOKUP(K$78,'＜表示→コピペ＞活動計画まとめ'!$E$1:$I$202,$D122,FALSE)</f>
        <v>#N/A</v>
      </c>
      <c r="L123" s="285" t="e">
        <f>HLOOKUP(K$78,'＜表示→コピペ＞活動計画まとめ'!$E$1:$I$202,$I122,FALSE)</f>
        <v>#N/A</v>
      </c>
      <c r="M123" s="285" t="e">
        <f t="shared" si="31"/>
        <v>#N/A</v>
      </c>
      <c r="N123" s="290">
        <v>1.0416666666666666E-2</v>
      </c>
      <c r="Q123" t="str">
        <f>HLOOKUP(Q$78,'＜表示→コピペ＞活動計画まとめ'!$E$1:$I$202,$D122,FALSE)</f>
        <v/>
      </c>
      <c r="R123" s="285">
        <f>HLOOKUP(Q$78,'＜表示→コピペ＞活動計画まとめ'!$E$1:$I$202,$I122,FALSE)</f>
        <v>0</v>
      </c>
      <c r="S123" s="285">
        <f t="shared" si="32"/>
        <v>1.0416666666666666E-2</v>
      </c>
      <c r="T123" s="290">
        <v>1.0416666666666666E-2</v>
      </c>
      <c r="W123" t="str">
        <f>HLOOKUP(W$78,'＜表示→コピペ＞活動計画まとめ'!$E$1:$I$202,$D122,FALSE)</f>
        <v/>
      </c>
      <c r="X123" s="285">
        <f>HLOOKUP(W$78,'＜表示→コピペ＞活動計画まとめ'!$E$1:$I$202,$I122,FALSE)</f>
        <v>0</v>
      </c>
      <c r="Y123" s="285">
        <f t="shared" si="33"/>
        <v>1.0416666666666666E-2</v>
      </c>
      <c r="Z123" s="290">
        <v>1.0416666666666666E-2</v>
      </c>
      <c r="AC123" t="str">
        <f>HLOOKUP(AC$78,'＜表示→コピペ＞活動計画まとめ'!$E$1:$I$202,$D122,FALSE)</f>
        <v/>
      </c>
      <c r="AD123" s="285">
        <f>HLOOKUP(AC$78,'＜表示→コピペ＞活動計画まとめ'!$E$1:$I$202,$I122,FALSE)</f>
        <v>0</v>
      </c>
      <c r="AE123" s="285">
        <f t="shared" si="34"/>
        <v>1.0416666666666666E-2</v>
      </c>
      <c r="AF123" s="290">
        <v>1.0416666666666666E-2</v>
      </c>
    </row>
    <row r="124" spans="1:32" ht="33" customHeight="1" thickBot="1">
      <c r="A124" s="887" t="s">
        <v>324</v>
      </c>
      <c r="B124" s="888"/>
      <c r="C124" s="301" t="s">
        <v>322</v>
      </c>
      <c r="D124" s="282">
        <v>49</v>
      </c>
      <c r="E124" s="320" t="str">
        <f>HLOOKUP(E$78,'＜表示→コピペ＞活動計画まとめ'!$E$1:$I$202,$D123,FALSE)</f>
        <v/>
      </c>
      <c r="F124" s="321">
        <f>HLOOKUP(E$78,'＜表示→コピペ＞活動計画まとめ'!$E$1:$I$202,$I123,FALSE)</f>
        <v>0</v>
      </c>
      <c r="G124" s="311"/>
      <c r="I124" s="282">
        <v>92</v>
      </c>
      <c r="K124" s="288" t="e">
        <f>HLOOKUP(K$78,'＜表示→コピペ＞活動計画まとめ'!$E$1:$I$202,$D123,FALSE)</f>
        <v>#N/A</v>
      </c>
      <c r="L124" s="302" t="e">
        <f>HLOOKUP(K$78,'＜表示→コピペ＞活動計画まとめ'!$E$1:$I$202,$I123,FALSE)</f>
        <v>#N/A</v>
      </c>
      <c r="M124" s="285"/>
      <c r="Q124" t="str">
        <f>HLOOKUP(Q$78,'＜表示→コピペ＞活動計画まとめ'!$E$1:$I$202,$D123,FALSE)</f>
        <v/>
      </c>
      <c r="R124" s="302">
        <f>HLOOKUP(Q$78,'＜表示→コピペ＞活動計画まとめ'!$E$1:$I$202,$I123,FALSE)</f>
        <v>0</v>
      </c>
      <c r="S124" s="285"/>
      <c r="W124" t="str">
        <f>HLOOKUP(W$78,'＜表示→コピペ＞活動計画まとめ'!$E$1:$I$202,$D123,FALSE)</f>
        <v/>
      </c>
      <c r="X124" s="302">
        <f>HLOOKUP(W$78,'＜表示→コピペ＞活動計画まとめ'!$E$1:$I$202,$I123,FALSE)</f>
        <v>0</v>
      </c>
      <c r="Y124" s="285"/>
      <c r="AC124" t="str">
        <f>HLOOKUP(AC$78,'＜表示→コピペ＞活動計画まとめ'!$E$1:$I$202,$D123,FALSE)</f>
        <v/>
      </c>
      <c r="AD124" s="302">
        <f>HLOOKUP(AC$78,'＜表示→コピペ＞活動計画まとめ'!$E$1:$I$202,$I123,FALSE)</f>
        <v>0</v>
      </c>
      <c r="AE124" s="285"/>
    </row>
    <row r="125" spans="1:32" ht="33" customHeight="1" thickBot="1">
      <c r="A125" s="889"/>
      <c r="B125" s="890"/>
      <c r="C125" s="301" t="s">
        <v>323</v>
      </c>
      <c r="D125" s="282">
        <v>50</v>
      </c>
      <c r="E125" s="322" t="str">
        <f>HLOOKUP(E$78,'＜表示→コピペ＞活動計画まとめ'!$E$1:$I$202,$D124,FALSE)</f>
        <v/>
      </c>
      <c r="F125" s="308">
        <f>HLOOKUP(E$78,'＜表示→コピペ＞活動計画まとめ'!$E$1:$I$202,$I124,FALSE)</f>
        <v>0</v>
      </c>
      <c r="G125" s="313"/>
      <c r="I125" s="282">
        <v>93</v>
      </c>
      <c r="K125" s="288" t="e">
        <f>HLOOKUP(K$78,'＜表示→コピペ＞活動計画まとめ'!$E$1:$I$202,$D124,FALSE)</f>
        <v>#N/A</v>
      </c>
      <c r="L125" s="302" t="e">
        <f>HLOOKUP(K$78,'＜表示→コピペ＞活動計画まとめ'!$E$1:$I$202,$I124,FALSE)</f>
        <v>#N/A</v>
      </c>
      <c r="M125" s="285"/>
      <c r="Q125" t="str">
        <f>HLOOKUP(Q$78,'＜表示→コピペ＞活動計画まとめ'!$E$1:$I$202,$D124,FALSE)</f>
        <v/>
      </c>
      <c r="R125" s="302">
        <f>HLOOKUP(Q$78,'＜表示→コピペ＞活動計画まとめ'!$E$1:$I$202,$I124,FALSE)</f>
        <v>0</v>
      </c>
      <c r="S125" s="285"/>
      <c r="W125" t="str">
        <f>HLOOKUP(W$78,'＜表示→コピペ＞活動計画まとめ'!$E$1:$I$202,$D124,FALSE)</f>
        <v/>
      </c>
      <c r="X125" s="302">
        <f>HLOOKUP(W$78,'＜表示→コピペ＞活動計画まとめ'!$E$1:$I$202,$I124,FALSE)</f>
        <v>0</v>
      </c>
      <c r="Y125" s="285"/>
      <c r="AC125" t="str">
        <f>HLOOKUP(AC$78,'＜表示→コピペ＞活動計画まとめ'!$E$1:$I$202,$D124,FALSE)</f>
        <v/>
      </c>
      <c r="AD125" s="302">
        <f>HLOOKUP(AC$78,'＜表示→コピペ＞活動計画まとめ'!$E$1:$I$202,$I124,FALSE)</f>
        <v>0</v>
      </c>
      <c r="AE125" s="285"/>
    </row>
    <row r="126" spans="1:32" ht="31.5" customHeight="1" thickBot="1">
      <c r="A126" s="889"/>
      <c r="B126" s="890"/>
      <c r="C126" s="301" t="s">
        <v>349</v>
      </c>
      <c r="D126" s="282">
        <v>51</v>
      </c>
      <c r="E126" s="322" t="str">
        <f>HLOOKUP(E$78,'＜表示→コピペ＞活動計画まとめ'!$E$1:$I$202,$D125,FALSE)</f>
        <v/>
      </c>
      <c r="F126" s="308">
        <f>HLOOKUP(E$78,'＜表示→コピペ＞活動計画まとめ'!$E$1:$I$202,$I125,FALSE)</f>
        <v>0</v>
      </c>
      <c r="G126" s="323"/>
      <c r="I126" s="282">
        <v>94</v>
      </c>
      <c r="K126" s="288" t="e">
        <f>HLOOKUP(K$78,'＜表示→コピペ＞活動計画まとめ'!$E$1:$I$202,$D125,FALSE)</f>
        <v>#N/A</v>
      </c>
      <c r="L126" s="302" t="e">
        <f>HLOOKUP(K$78,'＜表示→コピペ＞活動計画まとめ'!$E$1:$I$202,$I125,FALSE)</f>
        <v>#N/A</v>
      </c>
      <c r="Q126" t="str">
        <f>HLOOKUP(Q$78,'＜表示→コピペ＞活動計画まとめ'!$E$1:$I$202,$D125,FALSE)</f>
        <v/>
      </c>
      <c r="R126" s="302">
        <f>HLOOKUP(Q$78,'＜表示→コピペ＞活動計画まとめ'!$E$1:$I$202,$I125,FALSE)</f>
        <v>0</v>
      </c>
      <c r="W126" t="str">
        <f>HLOOKUP(W$78,'＜表示→コピペ＞活動計画まとめ'!$E$1:$I$202,$D125,FALSE)</f>
        <v/>
      </c>
      <c r="X126" s="302">
        <f>HLOOKUP(W$78,'＜表示→コピペ＞活動計画まとめ'!$E$1:$I$202,$I125,FALSE)</f>
        <v>0</v>
      </c>
      <c r="AC126" t="str">
        <f>HLOOKUP(AC$78,'＜表示→コピペ＞活動計画まとめ'!$E$1:$I$202,$D125,FALSE)</f>
        <v/>
      </c>
      <c r="AD126" s="302">
        <f>HLOOKUP(AC$78,'＜表示→コピペ＞活動計画まとめ'!$E$1:$I$202,$I125,FALSE)</f>
        <v>0</v>
      </c>
    </row>
    <row r="127" spans="1:32" ht="31.5" customHeight="1" thickBot="1">
      <c r="A127" s="889"/>
      <c r="B127" s="890"/>
      <c r="C127" s="301" t="s">
        <v>350</v>
      </c>
      <c r="D127" s="282">
        <v>52</v>
      </c>
      <c r="E127" s="322" t="str">
        <f>HLOOKUP(E$78,'＜表示→コピペ＞活動計画まとめ'!$E$1:$I$202,$D126,FALSE)</f>
        <v/>
      </c>
      <c r="F127" s="308">
        <f>HLOOKUP(E$78,'＜表示→コピペ＞活動計画まとめ'!$E$1:$I$202,$I126,FALSE)</f>
        <v>0</v>
      </c>
      <c r="G127" s="323"/>
      <c r="I127" s="282">
        <v>95</v>
      </c>
      <c r="K127" s="288" t="e">
        <f>HLOOKUP(K$78,'＜表示→コピペ＞活動計画まとめ'!$E$1:$I$202,$D126,FALSE)</f>
        <v>#N/A</v>
      </c>
      <c r="L127" s="302" t="e">
        <f>HLOOKUP(K$78,'＜表示→コピペ＞活動計画まとめ'!$E$1:$I$202,$I126,FALSE)</f>
        <v>#N/A</v>
      </c>
      <c r="Q127" t="str">
        <f>HLOOKUP(Q$78,'＜表示→コピペ＞活動計画まとめ'!$E$1:$I$202,$D126,FALSE)</f>
        <v/>
      </c>
      <c r="R127" s="302">
        <f>HLOOKUP(Q$78,'＜表示→コピペ＞活動計画まとめ'!$E$1:$I$202,$I126,FALSE)</f>
        <v>0</v>
      </c>
      <c r="W127" t="str">
        <f>HLOOKUP(W$78,'＜表示→コピペ＞活動計画まとめ'!$E$1:$I$202,$D126,FALSE)</f>
        <v/>
      </c>
      <c r="X127" s="302">
        <f>HLOOKUP(W$78,'＜表示→コピペ＞活動計画まとめ'!$E$1:$I$202,$I126,FALSE)</f>
        <v>0</v>
      </c>
      <c r="AC127" t="str">
        <f>HLOOKUP(AC$78,'＜表示→コピペ＞活動計画まとめ'!$E$1:$I$202,$D126,FALSE)</f>
        <v/>
      </c>
      <c r="AD127" s="302">
        <f>HLOOKUP(AC$78,'＜表示→コピペ＞活動計画まとめ'!$E$1:$I$202,$I126,FALSE)</f>
        <v>0</v>
      </c>
    </row>
    <row r="128" spans="1:32" ht="31.5" customHeight="1" thickBot="1">
      <c r="A128" s="889"/>
      <c r="B128" s="890"/>
      <c r="C128" s="301" t="s">
        <v>351</v>
      </c>
      <c r="D128" s="282">
        <v>53</v>
      </c>
      <c r="E128" s="322" t="str">
        <f>HLOOKUP(E$78,'＜表示→コピペ＞活動計画まとめ'!$E$1:$I$202,$D127,FALSE)</f>
        <v/>
      </c>
      <c r="F128" s="308">
        <f>HLOOKUP(E$78,'＜表示→コピペ＞活動計画まとめ'!$E$1:$I$202,$I127,FALSE)</f>
        <v>0</v>
      </c>
      <c r="G128" s="323"/>
      <c r="I128" s="282">
        <v>96</v>
      </c>
      <c r="K128" s="288" t="e">
        <f>HLOOKUP(K$78,'＜表示→コピペ＞活動計画まとめ'!$E$1:$I$202,$D127,FALSE)</f>
        <v>#N/A</v>
      </c>
      <c r="L128" s="302" t="e">
        <f>HLOOKUP(K$78,'＜表示→コピペ＞活動計画まとめ'!$E$1:$I$202,$I127,FALSE)</f>
        <v>#N/A</v>
      </c>
      <c r="Q128" t="str">
        <f>HLOOKUP(Q$78,'＜表示→コピペ＞活動計画まとめ'!$E$1:$I$202,$D127,FALSE)</f>
        <v/>
      </c>
      <c r="R128" s="302">
        <f>HLOOKUP(Q$78,'＜表示→コピペ＞活動計画まとめ'!$E$1:$I$202,$I127,FALSE)</f>
        <v>0</v>
      </c>
      <c r="W128" t="str">
        <f>HLOOKUP(W$78,'＜表示→コピペ＞活動計画まとめ'!$E$1:$I$202,$D127,FALSE)</f>
        <v/>
      </c>
      <c r="X128" s="302">
        <f>HLOOKUP(W$78,'＜表示→コピペ＞活動計画まとめ'!$E$1:$I$202,$I127,FALSE)</f>
        <v>0</v>
      </c>
      <c r="AC128" t="str">
        <f>HLOOKUP(AC$78,'＜表示→コピペ＞活動計画まとめ'!$E$1:$I$202,$D127,FALSE)</f>
        <v/>
      </c>
      <c r="AD128" s="302">
        <f>HLOOKUP(AC$78,'＜表示→コピペ＞活動計画まとめ'!$E$1:$I$202,$I127,FALSE)</f>
        <v>0</v>
      </c>
    </row>
    <row r="129" spans="1:30" ht="31.5" customHeight="1" thickBot="1">
      <c r="A129" s="889"/>
      <c r="B129" s="890"/>
      <c r="C129" s="301" t="s">
        <v>352</v>
      </c>
      <c r="D129" s="282">
        <v>54</v>
      </c>
      <c r="E129" s="324">
        <f>HLOOKUP(E$78,'＜表示→コピペ＞活動計画まとめ'!$E$1:$I$202,$D128,FALSE)</f>
        <v>0</v>
      </c>
      <c r="F129" s="325">
        <f>HLOOKUP(E$78,'＜表示→コピペ＞活動計画まとめ'!$E$1:$I$202,$I128,FALSE)</f>
        <v>0</v>
      </c>
      <c r="G129" s="326"/>
      <c r="I129" s="282">
        <v>97</v>
      </c>
      <c r="K129" s="288" t="e">
        <f>HLOOKUP(K$78,'＜表示→コピペ＞活動計画まとめ'!$E$1:$I$202,$D128,FALSE)</f>
        <v>#N/A</v>
      </c>
      <c r="L129" s="302" t="e">
        <f>HLOOKUP(K$78,'＜表示→コピペ＞活動計画まとめ'!$E$1:$I$202,$I128,FALSE)</f>
        <v>#N/A</v>
      </c>
      <c r="Q129">
        <f>HLOOKUP(Q$78,'＜表示→コピペ＞活動計画まとめ'!$E$1:$I$202,$D128,FALSE)</f>
        <v>0</v>
      </c>
      <c r="R129" s="302">
        <f>HLOOKUP(Q$78,'＜表示→コピペ＞活動計画まとめ'!$E$1:$I$202,$I128,FALSE)</f>
        <v>0</v>
      </c>
      <c r="W129">
        <f>HLOOKUP(W$78,'＜表示→コピペ＞活動計画まとめ'!$E$1:$I$202,$D128,FALSE)</f>
        <v>0</v>
      </c>
      <c r="X129" s="302">
        <f>HLOOKUP(W$78,'＜表示→コピペ＞活動計画まとめ'!$E$1:$I$202,$I128,FALSE)</f>
        <v>0</v>
      </c>
      <c r="AC129">
        <f>HLOOKUP(AC$78,'＜表示→コピペ＞活動計画まとめ'!$E$1:$I$202,$D128,FALSE)</f>
        <v>0</v>
      </c>
      <c r="AD129" s="302">
        <f>HLOOKUP(AC$78,'＜表示→コピペ＞活動計画まとめ'!$E$1:$I$202,$I128,FALSE)</f>
        <v>0</v>
      </c>
    </row>
    <row r="130" spans="1:30" ht="18.75">
      <c r="I130" s="282">
        <v>98</v>
      </c>
    </row>
  </sheetData>
  <sheetProtection algorithmName="SHA-512" hashValue="sxhU5gH0sBK75FrfgWITmTZr0rZqiCHXOiefgrf+NqcS0s+OsrydawrTDwJLkCsEnIsbxopmjTao/aP5Beny/A==" saltValue="0T/7JIbIQdpwxhD2OfNcjQ==" spinCount="100000" sheet="1" objects="1" scenarios="1"/>
  <mergeCells count="31">
    <mergeCell ref="A124:B129"/>
    <mergeCell ref="B120:B123"/>
    <mergeCell ref="Z4:AC4"/>
    <mergeCell ref="T4:W4"/>
    <mergeCell ref="T2:W2"/>
    <mergeCell ref="B90:B92"/>
    <mergeCell ref="B96:B97"/>
    <mergeCell ref="B98:B101"/>
    <mergeCell ref="B102:B107"/>
    <mergeCell ref="B109:B115"/>
    <mergeCell ref="B116:B119"/>
    <mergeCell ref="B4:E4"/>
    <mergeCell ref="H4:K4"/>
    <mergeCell ref="N4:Q4"/>
    <mergeCell ref="A81:A123"/>
    <mergeCell ref="B81:B84"/>
    <mergeCell ref="S1:X1"/>
    <mergeCell ref="Y1:AD1"/>
    <mergeCell ref="Z2:AC2"/>
    <mergeCell ref="Z3:AC3"/>
    <mergeCell ref="T3:W3"/>
    <mergeCell ref="B87:B89"/>
    <mergeCell ref="A1:F1"/>
    <mergeCell ref="G1:L1"/>
    <mergeCell ref="M1:R1"/>
    <mergeCell ref="B3:E3"/>
    <mergeCell ref="H3:K3"/>
    <mergeCell ref="N3:Q3"/>
    <mergeCell ref="B2:E2"/>
    <mergeCell ref="H2:K2"/>
    <mergeCell ref="N2:Q2"/>
  </mergeCells>
  <phoneticPr fontId="1"/>
  <conditionalFormatting sqref="B5:E73">
    <cfRule type="expression" dxfId="63" priority="74">
      <formula>OR(AND($A5&gt;=$F$81,$A5&lt;$G$81),AND($A5&gt;=$F$82,$A5&lt;$G$82),AND($A5&gt;=$F$83,$A5&lt;$G$83),AND($A5&gt;=$F$84,$A5&lt;$G$84),AND($A5&gt;=$F$85,$A5&lt;$G$85))</formula>
    </cfRule>
    <cfRule type="expression" dxfId="62" priority="75">
      <formula>OR(AND($A5&gt;=$F$86,$A5&lt;$G$86),AND($A5&gt;=$F$87,$A5&lt;$G$87),AND($A5&gt;=$F$88,$A5&lt;$G$88),AND($A5&gt;=$F$89,$A5&lt;$G$89),AND($A5&gt;=$F$90,$A5&lt;$G$90),AND($A5&gt;=$F$91,$A5&lt;$G$91),AND($A5&gt;=$F$92,$A5&lt;$G$92),AND($A5&gt;=$F$93,$A5&lt;$G$93))</formula>
    </cfRule>
    <cfRule type="expression" dxfId="61" priority="76">
      <formula>OR(AND($A5&gt;=$F$94,$A5&lt;$G$94),AND($A5&gt;=$F$95,$A5&lt;$G$95))</formula>
    </cfRule>
    <cfRule type="expression" dxfId="60" priority="77">
      <formula>OR(AND($A5&gt;=$F$96,$A5&lt;$G$96),AND($A5&gt;=$F$97,$A5&lt;$G$97))</formula>
    </cfRule>
    <cfRule type="expression" dxfId="59" priority="78">
      <formula>OR(AND($A5&gt;=$F$98,$A5&lt;$G$98),AND($A5&gt;=$F$99,$A5&lt;$G$99),AND($A5&gt;=$F$100,$A5&lt;$G$100),AND($A5&gt;=$F$101,$A5&lt;$G$101),AND($A5&gt;=$F$102,$A5&lt;$G$102))</formula>
    </cfRule>
    <cfRule type="expression" dxfId="58" priority="79">
      <formula>OR(AND($A5&gt;=$F$103,$A5&lt;$G$103),AND($A5&gt;=$F$104,$A5&lt;$G$104),AND($A5&gt;=$F$105,$A5&lt;$G$105),AND($A5&gt;=$F$106,$A5&lt;$G$106),AND($A5&gt;=$F$107,$A5&lt;$G$107),AND($A5&gt;=$F$108,$A5&lt;$G$108))</formula>
    </cfRule>
    <cfRule type="expression" dxfId="57" priority="80">
      <formula>OR(AND($A5&gt;=$F$109,$A5&lt;$G$109),AND($A5&gt;=$F$110,$A5&lt;$G$110),AND($A5&gt;=$F$111,$A5&lt;$G$111),AND($A5&gt;=$F$112,$A5&lt;$G$112),AND($A5&gt;=$F$113,$A5&lt;$G$113),AND($A5&gt;=$F$114,$A5&lt;$G$114),AND($A5&gt;=$F$115,$A5&lt;$G$115),AND($A5&gt;=$F$116,$A5&lt;$G$116),AND($A5&gt;=$F$117,$A5&lt;$G$117),AND($A5&gt;=$F$118,$A5&lt;$G$118),AND($A5&gt;=$F$119,$A5&lt;$G$119))</formula>
    </cfRule>
  </conditionalFormatting>
  <conditionalFormatting sqref="F5:F72 L5:L72 R5:R72 X5:X72">
    <cfRule type="expression" dxfId="56" priority="31">
      <formula>AND(TIME($A5,#REF!,0)&gt;=#REF!,TIME($A5,#REF!,0)&lt;#REF!)</formula>
    </cfRule>
  </conditionalFormatting>
  <conditionalFormatting sqref="F5:F72 R5:R72">
    <cfRule type="expression" dxfId="55" priority="32">
      <formula>AND(TIME($A5,#REF!,0)&gt;=#REF!,TIME($A5,#REF!,0)&lt;#REF!)</formula>
    </cfRule>
  </conditionalFormatting>
  <conditionalFormatting sqref="H5:K73">
    <cfRule type="expression" dxfId="54" priority="82">
      <formula>OR(AND($G5&gt;=$L$86,$G5&lt;$M$86),AND($G5&gt;=$L$87,$G5&lt;$M$87),AND($G5&gt;=$L$88,$G5&lt;$M$88),AND($G5&gt;=$L$89,$G5&lt;$M$89),AND($G5&gt;=$L$90,$G5&lt;$M$90),AND($G5&gt;=$L$91,$G5&lt;$M$91),AND($G5&gt;=$L$92,$G5&lt;$M$92),AND($G5&gt;=$L$93,$G5&lt;$M$93))</formula>
    </cfRule>
    <cfRule type="expression" dxfId="53" priority="87">
      <formula>OR(AND($G5&gt;=$L$109,$G5&lt;$M$109),AND($G5&gt;=$L$110,$G5&lt;$M$110),AND($G5&gt;=$L$111,$G5&lt;$M$111),AND($G5&gt;=$L$112,$G5&lt;$M$112),AND($G5&gt;=$L$113,$G5&lt;$M$113),AND($G5&gt;=$L$114,$G5&lt;$M$114),AND($G5&gt;=$L$115,$G5&lt;$M$115),AND($G5&gt;=$L$116,$G5&lt;$M$116),AND($G5&gt;=$L$117,$G5&lt;$M$117),AND($G5&gt;=$L$118,$G5&lt;$M$118),AND($G5&gt;=$L$119,$G5&lt;$M$119))</formula>
    </cfRule>
    <cfRule type="expression" dxfId="52" priority="86">
      <formula>OR(AND($G5&gt;=$L$103,$G5&lt;$M$103),AND($G5&gt;=$L$104,$G5&lt;$M$104),AND($G5&gt;=$L$105,$G5&lt;$M$105),AND($G5&gt;=$L$106,$G5&lt;$M$106),AND($G5&gt;=$L$107,$G5&lt;$M$107),AND($G5&gt;=$L$108,$G5&lt;$M$108))</formula>
    </cfRule>
    <cfRule type="expression" dxfId="51" priority="85">
      <formula>OR(AND($G5&gt;=$L$98,$G5&lt;$M$98),AND($G5&gt;=$L$99,$G5&lt;$M$99),AND($G5&gt;=$L$100,$G5&lt;$M$100),AND($G5&gt;=$L$101,$G5&lt;$M$101),AND($G5&gt;=$L$102,$G5&lt;$M$102))</formula>
    </cfRule>
    <cfRule type="expression" dxfId="50" priority="84">
      <formula>OR(AND($G5&gt;=$L$96,$G5&lt;$M$96),AND($G5&gt;=$L$97,$G5&lt;$M$97))</formula>
    </cfRule>
    <cfRule type="expression" dxfId="49" priority="83">
      <formula>OR(AND($G5&gt;=$L$94,$G5&lt;$M$94),AND($G5&gt;=$L$95,$G5&lt;$M$95))</formula>
    </cfRule>
    <cfRule type="expression" dxfId="48" priority="81">
      <formula>OR(AND($G5&gt;=$L$81,$G5&lt;$M$81),AND($G5&gt;=$L$82,$G5&lt;$M$82),AND($G5&gt;=$L$83,$G5&lt;$M$83),AND($G5&gt;=$L$84,$G5&lt;$M$84),AND($G5&gt;=$L$85,$G5&lt;$M$85))</formula>
    </cfRule>
  </conditionalFormatting>
  <conditionalFormatting sqref="L5:L72 X5:X72">
    <cfRule type="expression" dxfId="47" priority="33">
      <formula>AND(TIME($A5,#REF!,0)&gt;=#REF!,TIME($A5,#REF!,0)&lt;M$5)</formula>
    </cfRule>
  </conditionalFormatting>
  <conditionalFormatting sqref="N5:Q73">
    <cfRule type="expression" dxfId="46" priority="90">
      <formula>OR(AND($M5&gt;=$R$94,$M5&lt;$S$94),AND($M5&gt;=$R$95,$M5&lt;$S$95))</formula>
    </cfRule>
    <cfRule type="expression" dxfId="45" priority="89">
      <formula>OR(AND($M5&gt;=$R$86,$M5&lt;$S$86),AND($M5&gt;=$R$87,$M5&lt;$S$87),AND($M5&gt;=$R$88,$M5&lt;$S$88),AND($M5&gt;=$R$89,$M5&lt;$S$89),AND($M5&gt;=$R$90,$M5&lt;$S$90),AND($M5&gt;=$R$91,$M5&lt;$S$91),AND($M5&gt;=$R$92,$M5&lt;$S$92),AND($M5&gt;=$R$93,$M5&lt;$S$93))</formula>
    </cfRule>
    <cfRule type="expression" dxfId="44" priority="88">
      <formula>OR(AND($M5&gt;=$R$81,$M5&lt;$S$81),AND($M5&gt;=$R$82,$M5&lt;$S$82),AND($M5&gt;=$R$83,$M5&lt;$S$83),AND($M5&gt;=$R$84,$M5&lt;$S$84),AND($M5&gt;=$R$85,$M5&lt;$S$85))</formula>
    </cfRule>
    <cfRule type="expression" dxfId="43" priority="91">
      <formula>OR(AND($M5&gt;=$R$96,$M5&lt;$S$96),AND($M5&gt;=$R$97,$M5&lt;$S$97))</formula>
    </cfRule>
    <cfRule type="expression" dxfId="42" priority="92">
      <formula>OR(AND($M5&gt;=$R$98,$M5&lt;$S$98),AND($M5&gt;=$R$99,$M5&lt;$S$99),AND($M5&gt;=$R$100,$M5&lt;$S$100),AND($M5&gt;=$R$101,$M5&lt;$S$101),AND($M5&gt;=$R$102,$M5&lt;$S$102))</formula>
    </cfRule>
    <cfRule type="expression" dxfId="41" priority="93">
      <formula>OR(AND($M5&gt;=$R$103,$M5&lt;$S$103),AND($M5&gt;=$R$104,$M5&lt;$S$104),AND($M5&gt;=$R$105,$M5&lt;$S$105),AND($M5&gt;=$R$106,$M5&lt;$S$106),AND($M5&gt;=$R$107,$M5&lt;$S$107),AND($M5&gt;=$R$108,$M5&lt;$S$108))</formula>
    </cfRule>
    <cfRule type="expression" dxfId="40" priority="94">
      <formula>OR(AND($M5&gt;=$R$109,$M5&lt;$S$109),AND($M5&gt;=$R$110,$M5&lt;$S$110),AND($M5&gt;=$R$111,$M5&lt;$S$111),AND($M5&gt;=$R$112,$M5&lt;$S$112),AND($M5&gt;=$R$113,$M5&lt;$S$113),AND($M5&gt;=$R$114,$M5&lt;$S$114),AND($M5&gt;=$R$115,$M5&lt;$S$115),AND($M5&gt;=$R$116,$M5&lt;$S$116),AND($M5&gt;=$R$117,$M5&lt;$S$117),AND($M5&gt;=$R$118,$M5&lt;$S$118),AND($M5&gt;=$R$119,$M5&lt;$S$119))</formula>
    </cfRule>
  </conditionalFormatting>
  <conditionalFormatting sqref="T5:W73">
    <cfRule type="expression" dxfId="39" priority="101">
      <formula>OR(AND($S5&gt;=$X$109,$S5&lt;$Y$109),AND($S5&gt;=$X$110,$S5&lt;$Y$110),AND($S5&gt;=$X$111,$S5&lt;$Y$111),AND($S5&gt;=$X$112,$S5&lt;$Y$112),AND($S5&gt;=$X$113,$S5&lt;$Y$113),AND($S5&gt;=$X$114,$S5&lt;$Y$114),AND($S5&gt;=$X$115,$S5&lt;$Y$115),AND($S5&gt;=$X$116,$S5&lt;$Y$116),AND($S5&gt;=$X$117,$S5&lt;$Y$117),AND($S5&gt;=$X$118,$S5&lt;$Y$118),AND($S5&gt;=$X$119,$S5&lt;$Y$119))</formula>
    </cfRule>
    <cfRule type="expression" dxfId="38" priority="95">
      <formula>OR(AND($S5&gt;=$X$81,$S5&lt;$Y$81),AND($S5&gt;=$X$82,$S5&lt;$Y$82),AND($S5&gt;=$X$83,$S5&lt;$Y$83),AND($S5&gt;=$X$84,$S5&lt;$Y$84),AND($S5&gt;=$X$85,$S5&lt;$Y$85))</formula>
    </cfRule>
    <cfRule type="expression" dxfId="37" priority="96">
      <formula>OR(AND($S5&gt;=$X$86,$S5&lt;$Y$86),AND($S5&gt;=$X$87,$S5&lt;$Y$87),AND($S5&gt;=$X$88,$S5&lt;$Y$88),AND($S5&gt;=$X$89,$S5&lt;$Y$89),AND($S5&gt;=$X$90,$S5&lt;$Y$90),AND($S5&gt;=$X$91,$S5&lt;$Y$91),AND($S5&gt;=$X$92,$S5&lt;$Y$92),AND($S5&gt;=$X$93,$S5&lt;$Y$93))</formula>
    </cfRule>
    <cfRule type="expression" dxfId="36" priority="97">
      <formula>OR(AND($S5&gt;=$X$94,$S5&lt;$Y$94),AND($S5&gt;=$X$95,$S5&lt;$Y$95))</formula>
    </cfRule>
    <cfRule type="expression" dxfId="35" priority="98">
      <formula>OR(AND($S5&gt;=$X$96,$S5&lt;$Y$96),AND($S5&gt;=$X$97,$S5&lt;$Y$97))</formula>
    </cfRule>
    <cfRule type="expression" dxfId="34" priority="99">
      <formula>OR(AND($S5&gt;=$X$98,$S5&lt;$Y$98),AND($S5&gt;=$X$99,$S5&lt;$Y$99),AND($S5&gt;=$X$100,$S5&lt;$Y$100),AND($S5&gt;=$X$101,$S5&lt;$Y$101),AND($S5&gt;=$X$102,$S5&lt;$Y$102))</formula>
    </cfRule>
    <cfRule type="expression" dxfId="33" priority="100">
      <formula>OR(AND($S5&gt;=$X$103,$S5&lt;$Y$103),AND($S5&gt;=$X$104,$S5&lt;$Y$104),AND($S5&gt;=$X$105,$S5&lt;$Y$105),AND($S5&gt;=$X$106,$S5&lt;$Y$106),AND($S5&gt;=$X$107,$S5&lt;$Y$107),AND($S5&gt;=$X$108,$S5&lt;$Y$108))</formula>
    </cfRule>
  </conditionalFormatting>
  <conditionalFormatting sqref="Z5:AC73">
    <cfRule type="expression" dxfId="32" priority="7">
      <formula>OR(AND($Y5&gt;=$AD$98,$Y5&lt;$AE$98),AND($Y5&gt;=$AD$99,$Y5&lt;$AE$99),AND($Y5&gt;=$AD$100,$Y5&lt;$AE$100),AND($Y5&gt;=$AD$101,$Y5&lt;$AE$101),AND($Y5&gt;=$AD$102,$Y5&lt;$AE$102))</formula>
    </cfRule>
    <cfRule type="expression" dxfId="31" priority="6">
      <formula>OR(AND($Y5&gt;=$AD$96,$Y5&lt;$AE$96),AND($Y5&gt;=$AD$97,$Y5&lt;$AE$97))</formula>
    </cfRule>
    <cfRule type="expression" dxfId="30" priority="5">
      <formula>OR(AND($Y5&gt;=$AD$94,$Y5&lt;$AE$94),AND($Y5&gt;=$AD$95,$Y5&lt;$AE$95))</formula>
    </cfRule>
    <cfRule type="expression" dxfId="29" priority="4">
      <formula>OR(AND($Y5&gt;=$AD$86,$Y5&lt;$AE$86),AND($Y5&gt;=$AD$87,$Y5&lt;$AE$87),AND($Y5&gt;=$AD$88,$Y5&lt;$AE$88),AND($Y5&gt;=$AD$89,$Y5&lt;$AE$89),AND($Y5&gt;=$AD$90,$Y5&lt;$AE$90),AND($Y5&gt;=$AD$91,$Y5&lt;$AE$91),AND($Y5&gt;=$AD$92,$Y5&lt;$AE$92),AND($Y5&gt;=$ADA$93,$Y5&lt;$AE$93))</formula>
    </cfRule>
    <cfRule type="expression" dxfId="28" priority="3">
      <formula>OR(AND($Y5&gt;=$AD$81,$Y5&lt;$AE$81),AND($Y5&gt;=$AD$82,$Y5&lt;$AE$82),AND($Y5&gt;=$AD$83,$Y5&lt;$AE$83),AND($Y5&gt;=$AD$84,$Y5&lt;$AE$84),AND($Y5&gt;=$AD$85,$Y5&lt;$AE$85))</formula>
    </cfRule>
    <cfRule type="expression" dxfId="27" priority="9">
      <formula>OR(AND($Y5&gt;=$AD$109,$Y5&lt;$AE$109),AND($Y5&gt;=$AD$110,$Y5&lt;$AE$110),AND($Y5&gt;=$AD$111,$Y5&lt;$AE$111),AND($Y5&gt;=$AD$112,$Y5&lt;$AE$112),AND($Y5&gt;=$AD$113,$Y5&lt;$AE$113),AND($Y5&gt;=$AD$114,$Y5&lt;$AE$114),AND($Y5&gt;=$AD$115,$Y5&lt;$AE$115),AND($Y5&gt;=$AD$116,$Y5&lt;$AE$116),AND($Y5&gt;=$AD$117,$Y5&lt;$AE$117),AND($Y5&gt;=$AD$118,$Y5&lt;$AE$118),AND($Y5&gt;=$AD$119,$Y5&lt;$AE$119))</formula>
    </cfRule>
    <cfRule type="expression" dxfId="26" priority="8">
      <formula>OR(AND($Y5&gt;=$AD$103,$Y5&lt;$AE$103),AND($Y5&gt;=$AD$104,$Y5&lt;$AE$104),AND($Y5&gt;=$AD$105,$Y5&lt;$AE$105),AND($Y5&gt;=$AD$106,$Y5&lt;$AE$106),AND($Y5&gt;=$AD$107,$Y5&lt;$AE$107),AND($Y5&gt;=$AD$108,$Y5&lt;$AE$108))</formula>
    </cfRule>
  </conditionalFormatting>
  <conditionalFormatting sqref="AD5:AD72">
    <cfRule type="expression" dxfId="25" priority="2">
      <formula>AND(TIME($A5,#REF!,0)&gt;=#REF!,TIME($A5,#REF!,0)&lt;AE$5)</formula>
    </cfRule>
    <cfRule type="expression" dxfId="24" priority="1">
      <formula>AND(TIME($A5,#REF!,0)&gt;=#REF!,TIME($A5,#REF!,0)&lt;#REF!)</formula>
    </cfRule>
  </conditionalFormatting>
  <pageMargins left="0.23622047244094491" right="0.23622047244094491" top="0.74803149606299213" bottom="0.74803149606299213" header="0.31496062992125984" footer="0.31496062992125984"/>
  <pageSetup paperSize="8" scale="63" fitToWidth="3" orientation="portrait" r:id="rId1"/>
  <colBreaks count="1" manualBreakCount="1">
    <brk id="12" max="7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view="pageBreakPreview" topLeftCell="A41" zoomScaleNormal="115" zoomScaleSheetLayoutView="100" zoomScalePageLayoutView="70" workbookViewId="0">
      <selection activeCell="AA31" sqref="AA31:AA32"/>
    </sheetView>
  </sheetViews>
  <sheetFormatPr defaultColWidth="2.375" defaultRowHeight="13.5"/>
  <cols>
    <col min="1" max="5" width="2.375" style="61" customWidth="1"/>
    <col min="6" max="6" width="6.5" style="61" bestFit="1" customWidth="1"/>
    <col min="7" max="7" width="2.375" style="61" customWidth="1"/>
    <col min="8" max="8" width="2.875" style="61" customWidth="1"/>
    <col min="9" max="9" width="2.375" style="61" customWidth="1"/>
    <col min="10" max="10" width="2.875" style="61" customWidth="1"/>
    <col min="11" max="14" width="2.375" style="61" customWidth="1"/>
    <col min="15" max="15" width="2.25" style="61" customWidth="1"/>
    <col min="16" max="37" width="2.375" style="61"/>
    <col min="38" max="38" width="2.375" style="61" customWidth="1"/>
    <col min="39" max="44" width="2.375" style="61"/>
    <col min="45" max="45" width="3.875" style="61" customWidth="1"/>
    <col min="46" max="46" width="3.5" style="61" customWidth="1"/>
    <col min="47" max="48" width="2.75" style="61" bestFit="1" customWidth="1"/>
    <col min="49" max="259" width="2.375" style="61"/>
    <col min="260" max="260" width="2.875" style="61" customWidth="1"/>
    <col min="261" max="261" width="2.375" style="61"/>
    <col min="262" max="262" width="2.875" style="61" customWidth="1"/>
    <col min="263" max="268" width="2.375" style="61"/>
    <col min="269" max="269" width="2.25" style="61" customWidth="1"/>
    <col min="270" max="515" width="2.375" style="61"/>
    <col min="516" max="516" width="2.875" style="61" customWidth="1"/>
    <col min="517" max="517" width="2.375" style="61"/>
    <col min="518" max="518" width="2.875" style="61" customWidth="1"/>
    <col min="519" max="524" width="2.375" style="61"/>
    <col min="525" max="525" width="2.25" style="61" customWidth="1"/>
    <col min="526" max="771" width="2.375" style="61"/>
    <col min="772" max="772" width="2.875" style="61" customWidth="1"/>
    <col min="773" max="773" width="2.375" style="61"/>
    <col min="774" max="774" width="2.875" style="61" customWidth="1"/>
    <col min="775" max="780" width="2.375" style="61"/>
    <col min="781" max="781" width="2.25" style="61" customWidth="1"/>
    <col min="782" max="1027" width="2.375" style="61"/>
    <col min="1028" max="1028" width="2.875" style="61" customWidth="1"/>
    <col min="1029" max="1029" width="2.375" style="61"/>
    <col min="1030" max="1030" width="2.875" style="61" customWidth="1"/>
    <col min="1031" max="1036" width="2.375" style="61"/>
    <col min="1037" max="1037" width="2.25" style="61" customWidth="1"/>
    <col min="1038" max="1283" width="2.375" style="61"/>
    <col min="1284" max="1284" width="2.875" style="61" customWidth="1"/>
    <col min="1285" max="1285" width="2.375" style="61"/>
    <col min="1286" max="1286" width="2.875" style="61" customWidth="1"/>
    <col min="1287" max="1292" width="2.375" style="61"/>
    <col min="1293" max="1293" width="2.25" style="61" customWidth="1"/>
    <col min="1294" max="1539" width="2.375" style="61"/>
    <col min="1540" max="1540" width="2.875" style="61" customWidth="1"/>
    <col min="1541" max="1541" width="2.375" style="61"/>
    <col min="1542" max="1542" width="2.875" style="61" customWidth="1"/>
    <col min="1543" max="1548" width="2.375" style="61"/>
    <col min="1549" max="1549" width="2.25" style="61" customWidth="1"/>
    <col min="1550" max="1795" width="2.375" style="61"/>
    <col min="1796" max="1796" width="2.875" style="61" customWidth="1"/>
    <col min="1797" max="1797" width="2.375" style="61"/>
    <col min="1798" max="1798" width="2.875" style="61" customWidth="1"/>
    <col min="1799" max="1804" width="2.375" style="61"/>
    <col min="1805" max="1805" width="2.25" style="61" customWidth="1"/>
    <col min="1806" max="2051" width="2.375" style="61"/>
    <col min="2052" max="2052" width="2.875" style="61" customWidth="1"/>
    <col min="2053" max="2053" width="2.375" style="61"/>
    <col min="2054" max="2054" width="2.875" style="61" customWidth="1"/>
    <col min="2055" max="2060" width="2.375" style="61"/>
    <col min="2061" max="2061" width="2.25" style="61" customWidth="1"/>
    <col min="2062" max="2307" width="2.375" style="61"/>
    <col min="2308" max="2308" width="2.875" style="61" customWidth="1"/>
    <col min="2309" max="2309" width="2.375" style="61"/>
    <col min="2310" max="2310" width="2.875" style="61" customWidth="1"/>
    <col min="2311" max="2316" width="2.375" style="61"/>
    <col min="2317" max="2317" width="2.25" style="61" customWidth="1"/>
    <col min="2318" max="2563" width="2.375" style="61"/>
    <col min="2564" max="2564" width="2.875" style="61" customWidth="1"/>
    <col min="2565" max="2565" width="2.375" style="61"/>
    <col min="2566" max="2566" width="2.875" style="61" customWidth="1"/>
    <col min="2567" max="2572" width="2.375" style="61"/>
    <col min="2573" max="2573" width="2.25" style="61" customWidth="1"/>
    <col min="2574" max="2819" width="2.375" style="61"/>
    <col min="2820" max="2820" width="2.875" style="61" customWidth="1"/>
    <col min="2821" max="2821" width="2.375" style="61"/>
    <col min="2822" max="2822" width="2.875" style="61" customWidth="1"/>
    <col min="2823" max="2828" width="2.375" style="61"/>
    <col min="2829" max="2829" width="2.25" style="61" customWidth="1"/>
    <col min="2830" max="3075" width="2.375" style="61"/>
    <col min="3076" max="3076" width="2.875" style="61" customWidth="1"/>
    <col min="3077" max="3077" width="2.375" style="61"/>
    <col min="3078" max="3078" width="2.875" style="61" customWidth="1"/>
    <col min="3079" max="3084" width="2.375" style="61"/>
    <col min="3085" max="3085" width="2.25" style="61" customWidth="1"/>
    <col min="3086" max="3331" width="2.375" style="61"/>
    <col min="3332" max="3332" width="2.875" style="61" customWidth="1"/>
    <col min="3333" max="3333" width="2.375" style="61"/>
    <col min="3334" max="3334" width="2.875" style="61" customWidth="1"/>
    <col min="3335" max="3340" width="2.375" style="61"/>
    <col min="3341" max="3341" width="2.25" style="61" customWidth="1"/>
    <col min="3342" max="3587" width="2.375" style="61"/>
    <col min="3588" max="3588" width="2.875" style="61" customWidth="1"/>
    <col min="3589" max="3589" width="2.375" style="61"/>
    <col min="3590" max="3590" width="2.875" style="61" customWidth="1"/>
    <col min="3591" max="3596" width="2.375" style="61"/>
    <col min="3597" max="3597" width="2.25" style="61" customWidth="1"/>
    <col min="3598" max="3843" width="2.375" style="61"/>
    <col min="3844" max="3844" width="2.875" style="61" customWidth="1"/>
    <col min="3845" max="3845" width="2.375" style="61"/>
    <col min="3846" max="3846" width="2.875" style="61" customWidth="1"/>
    <col min="3847" max="3852" width="2.375" style="61"/>
    <col min="3853" max="3853" width="2.25" style="61" customWidth="1"/>
    <col min="3854" max="4099" width="2.375" style="61"/>
    <col min="4100" max="4100" width="2.875" style="61" customWidth="1"/>
    <col min="4101" max="4101" width="2.375" style="61"/>
    <col min="4102" max="4102" width="2.875" style="61" customWidth="1"/>
    <col min="4103" max="4108" width="2.375" style="61"/>
    <col min="4109" max="4109" width="2.25" style="61" customWidth="1"/>
    <col min="4110" max="4355" width="2.375" style="61"/>
    <col min="4356" max="4356" width="2.875" style="61" customWidth="1"/>
    <col min="4357" max="4357" width="2.375" style="61"/>
    <col min="4358" max="4358" width="2.875" style="61" customWidth="1"/>
    <col min="4359" max="4364" width="2.375" style="61"/>
    <col min="4365" max="4365" width="2.25" style="61" customWidth="1"/>
    <col min="4366" max="4611" width="2.375" style="61"/>
    <col min="4612" max="4612" width="2.875" style="61" customWidth="1"/>
    <col min="4613" max="4613" width="2.375" style="61"/>
    <col min="4614" max="4614" width="2.875" style="61" customWidth="1"/>
    <col min="4615" max="4620" width="2.375" style="61"/>
    <col min="4621" max="4621" width="2.25" style="61" customWidth="1"/>
    <col min="4622" max="4867" width="2.375" style="61"/>
    <col min="4868" max="4868" width="2.875" style="61" customWidth="1"/>
    <col min="4869" max="4869" width="2.375" style="61"/>
    <col min="4870" max="4870" width="2.875" style="61" customWidth="1"/>
    <col min="4871" max="4876" width="2.375" style="61"/>
    <col min="4877" max="4877" width="2.25" style="61" customWidth="1"/>
    <col min="4878" max="5123" width="2.375" style="61"/>
    <col min="5124" max="5124" width="2.875" style="61" customWidth="1"/>
    <col min="5125" max="5125" width="2.375" style="61"/>
    <col min="5126" max="5126" width="2.875" style="61" customWidth="1"/>
    <col min="5127" max="5132" width="2.375" style="61"/>
    <col min="5133" max="5133" width="2.25" style="61" customWidth="1"/>
    <col min="5134" max="5379" width="2.375" style="61"/>
    <col min="5380" max="5380" width="2.875" style="61" customWidth="1"/>
    <col min="5381" max="5381" width="2.375" style="61"/>
    <col min="5382" max="5382" width="2.875" style="61" customWidth="1"/>
    <col min="5383" max="5388" width="2.375" style="61"/>
    <col min="5389" max="5389" width="2.25" style="61" customWidth="1"/>
    <col min="5390" max="5635" width="2.375" style="61"/>
    <col min="5636" max="5636" width="2.875" style="61" customWidth="1"/>
    <col min="5637" max="5637" width="2.375" style="61"/>
    <col min="5638" max="5638" width="2.875" style="61" customWidth="1"/>
    <col min="5639" max="5644" width="2.375" style="61"/>
    <col min="5645" max="5645" width="2.25" style="61" customWidth="1"/>
    <col min="5646" max="5891" width="2.375" style="61"/>
    <col min="5892" max="5892" width="2.875" style="61" customWidth="1"/>
    <col min="5893" max="5893" width="2.375" style="61"/>
    <col min="5894" max="5894" width="2.875" style="61" customWidth="1"/>
    <col min="5895" max="5900" width="2.375" style="61"/>
    <col min="5901" max="5901" width="2.25" style="61" customWidth="1"/>
    <col min="5902" max="6147" width="2.375" style="61"/>
    <col min="6148" max="6148" width="2.875" style="61" customWidth="1"/>
    <col min="6149" max="6149" width="2.375" style="61"/>
    <col min="6150" max="6150" width="2.875" style="61" customWidth="1"/>
    <col min="6151" max="6156" width="2.375" style="61"/>
    <col min="6157" max="6157" width="2.25" style="61" customWidth="1"/>
    <col min="6158" max="6403" width="2.375" style="61"/>
    <col min="6404" max="6404" width="2.875" style="61" customWidth="1"/>
    <col min="6405" max="6405" width="2.375" style="61"/>
    <col min="6406" max="6406" width="2.875" style="61" customWidth="1"/>
    <col min="6407" max="6412" width="2.375" style="61"/>
    <col min="6413" max="6413" width="2.25" style="61" customWidth="1"/>
    <col min="6414" max="6659" width="2.375" style="61"/>
    <col min="6660" max="6660" width="2.875" style="61" customWidth="1"/>
    <col min="6661" max="6661" width="2.375" style="61"/>
    <col min="6662" max="6662" width="2.875" style="61" customWidth="1"/>
    <col min="6663" max="6668" width="2.375" style="61"/>
    <col min="6669" max="6669" width="2.25" style="61" customWidth="1"/>
    <col min="6670" max="6915" width="2.375" style="61"/>
    <col min="6916" max="6916" width="2.875" style="61" customWidth="1"/>
    <col min="6917" max="6917" width="2.375" style="61"/>
    <col min="6918" max="6918" width="2.875" style="61" customWidth="1"/>
    <col min="6919" max="6924" width="2.375" style="61"/>
    <col min="6925" max="6925" width="2.25" style="61" customWidth="1"/>
    <col min="6926" max="7171" width="2.375" style="61"/>
    <col min="7172" max="7172" width="2.875" style="61" customWidth="1"/>
    <col min="7173" max="7173" width="2.375" style="61"/>
    <col min="7174" max="7174" width="2.875" style="61" customWidth="1"/>
    <col min="7175" max="7180" width="2.375" style="61"/>
    <col min="7181" max="7181" width="2.25" style="61" customWidth="1"/>
    <col min="7182" max="7427" width="2.375" style="61"/>
    <col min="7428" max="7428" width="2.875" style="61" customWidth="1"/>
    <col min="7429" max="7429" width="2.375" style="61"/>
    <col min="7430" max="7430" width="2.875" style="61" customWidth="1"/>
    <col min="7431" max="7436" width="2.375" style="61"/>
    <col min="7437" max="7437" width="2.25" style="61" customWidth="1"/>
    <col min="7438" max="7683" width="2.375" style="61"/>
    <col min="7684" max="7684" width="2.875" style="61" customWidth="1"/>
    <col min="7685" max="7685" width="2.375" style="61"/>
    <col min="7686" max="7686" width="2.875" style="61" customWidth="1"/>
    <col min="7687" max="7692" width="2.375" style="61"/>
    <col min="7693" max="7693" width="2.25" style="61" customWidth="1"/>
    <col min="7694" max="7939" width="2.375" style="61"/>
    <col min="7940" max="7940" width="2.875" style="61" customWidth="1"/>
    <col min="7941" max="7941" width="2.375" style="61"/>
    <col min="7942" max="7942" width="2.875" style="61" customWidth="1"/>
    <col min="7943" max="7948" width="2.375" style="61"/>
    <col min="7949" max="7949" width="2.25" style="61" customWidth="1"/>
    <col min="7950" max="8195" width="2.375" style="61"/>
    <col min="8196" max="8196" width="2.875" style="61" customWidth="1"/>
    <col min="8197" max="8197" width="2.375" style="61"/>
    <col min="8198" max="8198" width="2.875" style="61" customWidth="1"/>
    <col min="8199" max="8204" width="2.375" style="61"/>
    <col min="8205" max="8205" width="2.25" style="61" customWidth="1"/>
    <col min="8206" max="8451" width="2.375" style="61"/>
    <col min="8452" max="8452" width="2.875" style="61" customWidth="1"/>
    <col min="8453" max="8453" width="2.375" style="61"/>
    <col min="8454" max="8454" width="2.875" style="61" customWidth="1"/>
    <col min="8455" max="8460" width="2.375" style="61"/>
    <col min="8461" max="8461" width="2.25" style="61" customWidth="1"/>
    <col min="8462" max="8707" width="2.375" style="61"/>
    <col min="8708" max="8708" width="2.875" style="61" customWidth="1"/>
    <col min="8709" max="8709" width="2.375" style="61"/>
    <col min="8710" max="8710" width="2.875" style="61" customWidth="1"/>
    <col min="8711" max="8716" width="2.375" style="61"/>
    <col min="8717" max="8717" width="2.25" style="61" customWidth="1"/>
    <col min="8718" max="8963" width="2.375" style="61"/>
    <col min="8964" max="8964" width="2.875" style="61" customWidth="1"/>
    <col min="8965" max="8965" width="2.375" style="61"/>
    <col min="8966" max="8966" width="2.875" style="61" customWidth="1"/>
    <col min="8967" max="8972" width="2.375" style="61"/>
    <col min="8973" max="8973" width="2.25" style="61" customWidth="1"/>
    <col min="8974" max="9219" width="2.375" style="61"/>
    <col min="9220" max="9220" width="2.875" style="61" customWidth="1"/>
    <col min="9221" max="9221" width="2.375" style="61"/>
    <col min="9222" max="9222" width="2.875" style="61" customWidth="1"/>
    <col min="9223" max="9228" width="2.375" style="61"/>
    <col min="9229" max="9229" width="2.25" style="61" customWidth="1"/>
    <col min="9230" max="9475" width="2.375" style="61"/>
    <col min="9476" max="9476" width="2.875" style="61" customWidth="1"/>
    <col min="9477" max="9477" width="2.375" style="61"/>
    <col min="9478" max="9478" width="2.875" style="61" customWidth="1"/>
    <col min="9479" max="9484" width="2.375" style="61"/>
    <col min="9485" max="9485" width="2.25" style="61" customWidth="1"/>
    <col min="9486" max="9731" width="2.375" style="61"/>
    <col min="9732" max="9732" width="2.875" style="61" customWidth="1"/>
    <col min="9733" max="9733" width="2.375" style="61"/>
    <col min="9734" max="9734" width="2.875" style="61" customWidth="1"/>
    <col min="9735" max="9740" width="2.375" style="61"/>
    <col min="9741" max="9741" width="2.25" style="61" customWidth="1"/>
    <col min="9742" max="9987" width="2.375" style="61"/>
    <col min="9988" max="9988" width="2.875" style="61" customWidth="1"/>
    <col min="9989" max="9989" width="2.375" style="61"/>
    <col min="9990" max="9990" width="2.875" style="61" customWidth="1"/>
    <col min="9991" max="9996" width="2.375" style="61"/>
    <col min="9997" max="9997" width="2.25" style="61" customWidth="1"/>
    <col min="9998" max="10243" width="2.375" style="61"/>
    <col min="10244" max="10244" width="2.875" style="61" customWidth="1"/>
    <col min="10245" max="10245" width="2.375" style="61"/>
    <col min="10246" max="10246" width="2.875" style="61" customWidth="1"/>
    <col min="10247" max="10252" width="2.375" style="61"/>
    <col min="10253" max="10253" width="2.25" style="61" customWidth="1"/>
    <col min="10254" max="10499" width="2.375" style="61"/>
    <col min="10500" max="10500" width="2.875" style="61" customWidth="1"/>
    <col min="10501" max="10501" width="2.375" style="61"/>
    <col min="10502" max="10502" width="2.875" style="61" customWidth="1"/>
    <col min="10503" max="10508" width="2.375" style="61"/>
    <col min="10509" max="10509" width="2.25" style="61" customWidth="1"/>
    <col min="10510" max="10755" width="2.375" style="61"/>
    <col min="10756" max="10756" width="2.875" style="61" customWidth="1"/>
    <col min="10757" max="10757" width="2.375" style="61"/>
    <col min="10758" max="10758" width="2.875" style="61" customWidth="1"/>
    <col min="10759" max="10764" width="2.375" style="61"/>
    <col min="10765" max="10765" width="2.25" style="61" customWidth="1"/>
    <col min="10766" max="11011" width="2.375" style="61"/>
    <col min="11012" max="11012" width="2.875" style="61" customWidth="1"/>
    <col min="11013" max="11013" width="2.375" style="61"/>
    <col min="11014" max="11014" width="2.875" style="61" customWidth="1"/>
    <col min="11015" max="11020" width="2.375" style="61"/>
    <col min="11021" max="11021" width="2.25" style="61" customWidth="1"/>
    <col min="11022" max="11267" width="2.375" style="61"/>
    <col min="11268" max="11268" width="2.875" style="61" customWidth="1"/>
    <col min="11269" max="11269" width="2.375" style="61"/>
    <col min="11270" max="11270" width="2.875" style="61" customWidth="1"/>
    <col min="11271" max="11276" width="2.375" style="61"/>
    <col min="11277" max="11277" width="2.25" style="61" customWidth="1"/>
    <col min="11278" max="11523" width="2.375" style="61"/>
    <col min="11524" max="11524" width="2.875" style="61" customWidth="1"/>
    <col min="11525" max="11525" width="2.375" style="61"/>
    <col min="11526" max="11526" width="2.875" style="61" customWidth="1"/>
    <col min="11527" max="11532" width="2.375" style="61"/>
    <col min="11533" max="11533" width="2.25" style="61" customWidth="1"/>
    <col min="11534" max="11779" width="2.375" style="61"/>
    <col min="11780" max="11780" width="2.875" style="61" customWidth="1"/>
    <col min="11781" max="11781" width="2.375" style="61"/>
    <col min="11782" max="11782" width="2.875" style="61" customWidth="1"/>
    <col min="11783" max="11788" width="2.375" style="61"/>
    <col min="11789" max="11789" width="2.25" style="61" customWidth="1"/>
    <col min="11790" max="12035" width="2.375" style="61"/>
    <col min="12036" max="12036" width="2.875" style="61" customWidth="1"/>
    <col min="12037" max="12037" width="2.375" style="61"/>
    <col min="12038" max="12038" width="2.875" style="61" customWidth="1"/>
    <col min="12039" max="12044" width="2.375" style="61"/>
    <col min="12045" max="12045" width="2.25" style="61" customWidth="1"/>
    <col min="12046" max="12291" width="2.375" style="61"/>
    <col min="12292" max="12292" width="2.875" style="61" customWidth="1"/>
    <col min="12293" max="12293" width="2.375" style="61"/>
    <col min="12294" max="12294" width="2.875" style="61" customWidth="1"/>
    <col min="12295" max="12300" width="2.375" style="61"/>
    <col min="12301" max="12301" width="2.25" style="61" customWidth="1"/>
    <col min="12302" max="12547" width="2.375" style="61"/>
    <col min="12548" max="12548" width="2.875" style="61" customWidth="1"/>
    <col min="12549" max="12549" width="2.375" style="61"/>
    <col min="12550" max="12550" width="2.875" style="61" customWidth="1"/>
    <col min="12551" max="12556" width="2.375" style="61"/>
    <col min="12557" max="12557" width="2.25" style="61" customWidth="1"/>
    <col min="12558" max="12803" width="2.375" style="61"/>
    <col min="12804" max="12804" width="2.875" style="61" customWidth="1"/>
    <col min="12805" max="12805" width="2.375" style="61"/>
    <col min="12806" max="12806" width="2.875" style="61" customWidth="1"/>
    <col min="12807" max="12812" width="2.375" style="61"/>
    <col min="12813" max="12813" width="2.25" style="61" customWidth="1"/>
    <col min="12814" max="13059" width="2.375" style="61"/>
    <col min="13060" max="13060" width="2.875" style="61" customWidth="1"/>
    <col min="13061" max="13061" width="2.375" style="61"/>
    <col min="13062" max="13062" width="2.875" style="61" customWidth="1"/>
    <col min="13063" max="13068" width="2.375" style="61"/>
    <col min="13069" max="13069" width="2.25" style="61" customWidth="1"/>
    <col min="13070" max="13315" width="2.375" style="61"/>
    <col min="13316" max="13316" width="2.875" style="61" customWidth="1"/>
    <col min="13317" max="13317" width="2.375" style="61"/>
    <col min="13318" max="13318" width="2.875" style="61" customWidth="1"/>
    <col min="13319" max="13324" width="2.375" style="61"/>
    <col min="13325" max="13325" width="2.25" style="61" customWidth="1"/>
    <col min="13326" max="13571" width="2.375" style="61"/>
    <col min="13572" max="13572" width="2.875" style="61" customWidth="1"/>
    <col min="13573" max="13573" width="2.375" style="61"/>
    <col min="13574" max="13574" width="2.875" style="61" customWidth="1"/>
    <col min="13575" max="13580" width="2.375" style="61"/>
    <col min="13581" max="13581" width="2.25" style="61" customWidth="1"/>
    <col min="13582" max="13827" width="2.375" style="61"/>
    <col min="13828" max="13828" width="2.875" style="61" customWidth="1"/>
    <col min="13829" max="13829" width="2.375" style="61"/>
    <col min="13830" max="13830" width="2.875" style="61" customWidth="1"/>
    <col min="13831" max="13836" width="2.375" style="61"/>
    <col min="13837" max="13837" width="2.25" style="61" customWidth="1"/>
    <col min="13838" max="14083" width="2.375" style="61"/>
    <col min="14084" max="14084" width="2.875" style="61" customWidth="1"/>
    <col min="14085" max="14085" width="2.375" style="61"/>
    <col min="14086" max="14086" width="2.875" style="61" customWidth="1"/>
    <col min="14087" max="14092" width="2.375" style="61"/>
    <col min="14093" max="14093" width="2.25" style="61" customWidth="1"/>
    <col min="14094" max="14339" width="2.375" style="61"/>
    <col min="14340" max="14340" width="2.875" style="61" customWidth="1"/>
    <col min="14341" max="14341" width="2.375" style="61"/>
    <col min="14342" max="14342" width="2.875" style="61" customWidth="1"/>
    <col min="14343" max="14348" width="2.375" style="61"/>
    <col min="14349" max="14349" width="2.25" style="61" customWidth="1"/>
    <col min="14350" max="14595" width="2.375" style="61"/>
    <col min="14596" max="14596" width="2.875" style="61" customWidth="1"/>
    <col min="14597" max="14597" width="2.375" style="61"/>
    <col min="14598" max="14598" width="2.875" style="61" customWidth="1"/>
    <col min="14599" max="14604" width="2.375" style="61"/>
    <col min="14605" max="14605" width="2.25" style="61" customWidth="1"/>
    <col min="14606" max="14851" width="2.375" style="61"/>
    <col min="14852" max="14852" width="2.875" style="61" customWidth="1"/>
    <col min="14853" max="14853" width="2.375" style="61"/>
    <col min="14854" max="14854" width="2.875" style="61" customWidth="1"/>
    <col min="14855" max="14860" width="2.375" style="61"/>
    <col min="14861" max="14861" width="2.25" style="61" customWidth="1"/>
    <col min="14862" max="15107" width="2.375" style="61"/>
    <col min="15108" max="15108" width="2.875" style="61" customWidth="1"/>
    <col min="15109" max="15109" width="2.375" style="61"/>
    <col min="15110" max="15110" width="2.875" style="61" customWidth="1"/>
    <col min="15111" max="15116" width="2.375" style="61"/>
    <col min="15117" max="15117" width="2.25" style="61" customWidth="1"/>
    <col min="15118" max="15363" width="2.375" style="61"/>
    <col min="15364" max="15364" width="2.875" style="61" customWidth="1"/>
    <col min="15365" max="15365" width="2.375" style="61"/>
    <col min="15366" max="15366" width="2.875" style="61" customWidth="1"/>
    <col min="15367" max="15372" width="2.375" style="61"/>
    <col min="15373" max="15373" width="2.25" style="61" customWidth="1"/>
    <col min="15374" max="15619" width="2.375" style="61"/>
    <col min="15620" max="15620" width="2.875" style="61" customWidth="1"/>
    <col min="15621" max="15621" width="2.375" style="61"/>
    <col min="15622" max="15622" width="2.875" style="61" customWidth="1"/>
    <col min="15623" max="15628" width="2.375" style="61"/>
    <col min="15629" max="15629" width="2.25" style="61" customWidth="1"/>
    <col min="15630" max="15875" width="2.375" style="61"/>
    <col min="15876" max="15876" width="2.875" style="61" customWidth="1"/>
    <col min="15877" max="15877" width="2.375" style="61"/>
    <col min="15878" max="15878" width="2.875" style="61" customWidth="1"/>
    <col min="15879" max="15884" width="2.375" style="61"/>
    <col min="15885" max="15885" width="2.25" style="61" customWidth="1"/>
    <col min="15886" max="16131" width="2.375" style="61"/>
    <col min="16132" max="16132" width="2.875" style="61" customWidth="1"/>
    <col min="16133" max="16133" width="2.375" style="61"/>
    <col min="16134" max="16134" width="2.875" style="61" customWidth="1"/>
    <col min="16135" max="16140" width="2.375" style="61"/>
    <col min="16141" max="16141" width="2.25" style="61" customWidth="1"/>
    <col min="16142" max="16384" width="2.375" style="61"/>
  </cols>
  <sheetData>
    <row r="1" spans="1:39" ht="14.25">
      <c r="A1" s="60"/>
      <c r="B1" s="130"/>
      <c r="C1" s="130"/>
      <c r="D1" s="130"/>
      <c r="E1" s="131" t="s">
        <v>164</v>
      </c>
      <c r="F1" s="132">
        <f>宿泊者名簿!S3</f>
        <v>0</v>
      </c>
      <c r="G1" s="133"/>
      <c r="H1" s="133"/>
      <c r="I1" s="133"/>
      <c r="J1" s="133"/>
      <c r="K1" s="133"/>
      <c r="L1" s="60"/>
      <c r="M1" s="60"/>
      <c r="N1" s="60"/>
      <c r="O1" s="60"/>
      <c r="P1" s="60"/>
      <c r="Q1" s="60"/>
      <c r="R1" s="60"/>
      <c r="S1" s="60"/>
      <c r="T1" s="60"/>
      <c r="U1" s="60"/>
      <c r="V1" s="60"/>
      <c r="W1" s="60"/>
      <c r="X1" s="60"/>
      <c r="Y1" s="60"/>
      <c r="Z1" s="60"/>
      <c r="AA1" s="60"/>
      <c r="AB1" s="60"/>
      <c r="AC1" s="60"/>
      <c r="AD1" s="60"/>
      <c r="AE1" s="60"/>
      <c r="AF1" s="60"/>
      <c r="AG1" s="60"/>
      <c r="AH1" s="60"/>
      <c r="AI1" s="60"/>
      <c r="AJ1" s="60"/>
      <c r="AK1" s="1041" t="s">
        <v>165</v>
      </c>
      <c r="AL1" s="1041"/>
      <c r="AM1" s="1041"/>
    </row>
    <row r="2" spans="1:39" ht="15" thickBot="1">
      <c r="A2" s="60"/>
      <c r="B2" s="62" t="s">
        <v>166</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1042"/>
      <c r="AL2" s="1042"/>
      <c r="AM2" s="1042"/>
    </row>
    <row r="3" spans="1:39" ht="14.25">
      <c r="A3" s="60"/>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5"/>
    </row>
    <row r="4" spans="1:39" ht="14.45" customHeight="1">
      <c r="A4" s="60"/>
      <c r="B4" s="1037" t="s">
        <v>167</v>
      </c>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9"/>
    </row>
    <row r="5" spans="1:39" ht="14.45" customHeight="1">
      <c r="A5" s="60"/>
      <c r="B5" s="1037"/>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1038"/>
      <c r="AM5" s="1039"/>
    </row>
    <row r="6" spans="1:39" ht="14.25">
      <c r="A6" s="60"/>
      <c r="B6" s="66"/>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7"/>
    </row>
    <row r="7" spans="1:39" ht="15.75" customHeight="1">
      <c r="A7" s="60"/>
      <c r="B7" s="66"/>
      <c r="C7" s="60"/>
      <c r="D7" s="60"/>
      <c r="E7" s="60"/>
      <c r="F7" s="60"/>
      <c r="G7" s="60"/>
      <c r="H7" s="60"/>
      <c r="I7" s="60"/>
      <c r="J7" s="60"/>
      <c r="K7" s="60"/>
      <c r="L7" s="60"/>
      <c r="M7" s="60"/>
      <c r="N7" s="60"/>
      <c r="O7" s="60"/>
      <c r="P7" s="60"/>
      <c r="Q7" s="60"/>
      <c r="R7" s="60"/>
      <c r="S7" s="60"/>
      <c r="T7" s="60"/>
      <c r="U7" s="60"/>
      <c r="V7" s="60"/>
      <c r="W7" s="60"/>
      <c r="X7" s="1043">
        <f ca="1">TODAY()</f>
        <v>46152</v>
      </c>
      <c r="Y7" s="1043"/>
      <c r="Z7" s="1043"/>
      <c r="AA7" s="1043"/>
      <c r="AB7" s="1043"/>
      <c r="AC7" s="1043"/>
      <c r="AD7" s="1043"/>
      <c r="AE7" s="1043"/>
      <c r="AF7" s="1043"/>
      <c r="AG7" s="1043"/>
      <c r="AH7" s="1043"/>
      <c r="AI7" s="1043"/>
      <c r="AJ7" s="1043"/>
      <c r="AK7" s="1043"/>
      <c r="AL7" s="1043"/>
      <c r="AM7" s="67"/>
    </row>
    <row r="8" spans="1:39" ht="14.25">
      <c r="A8" s="60"/>
      <c r="B8" s="66"/>
      <c r="C8" s="60" t="s">
        <v>168</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7"/>
    </row>
    <row r="9" spans="1:39" ht="14.25">
      <c r="A9" s="60"/>
      <c r="B9" s="66"/>
      <c r="D9" s="60" t="s">
        <v>169</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7"/>
    </row>
    <row r="10" spans="1:39" ht="14.25">
      <c r="A10" s="60"/>
      <c r="B10" s="66"/>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7"/>
    </row>
    <row r="11" spans="1:39" ht="14.25">
      <c r="A11" s="60"/>
      <c r="B11" s="66"/>
      <c r="C11" s="60"/>
      <c r="D11" s="60"/>
      <c r="E11" s="60"/>
      <c r="F11" s="60"/>
      <c r="G11" s="60"/>
      <c r="H11" s="60"/>
      <c r="I11" s="60"/>
      <c r="J11" s="60"/>
      <c r="K11" s="60"/>
      <c r="L11" s="60"/>
      <c r="M11" s="60"/>
      <c r="N11" s="60"/>
      <c r="O11" s="1044" t="s">
        <v>170</v>
      </c>
      <c r="P11" s="1044"/>
      <c r="Q11" s="1044"/>
      <c r="R11" s="1044"/>
      <c r="S11" s="1044"/>
      <c r="T11" s="1044"/>
      <c r="U11" s="1044"/>
      <c r="V11" s="134"/>
      <c r="W11" s="1045">
        <f>宿泊者名簿!D11</f>
        <v>0</v>
      </c>
      <c r="X11" s="1045"/>
      <c r="Y11" s="1045"/>
      <c r="Z11" s="1045"/>
      <c r="AA11" s="1045"/>
      <c r="AB11" s="1045"/>
      <c r="AC11" s="1045"/>
      <c r="AD11" s="1045"/>
      <c r="AE11" s="1045"/>
      <c r="AF11" s="70"/>
      <c r="AG11" s="70"/>
      <c r="AH11" s="70"/>
      <c r="AI11" s="70"/>
      <c r="AJ11" s="70"/>
      <c r="AK11" s="70"/>
      <c r="AL11" s="70"/>
      <c r="AM11" s="71"/>
    </row>
    <row r="12" spans="1:39" ht="6.75" customHeight="1">
      <c r="A12" s="60"/>
      <c r="B12" s="66"/>
      <c r="C12" s="60"/>
      <c r="D12" s="60"/>
      <c r="E12" s="60"/>
      <c r="F12" s="60"/>
      <c r="G12" s="60"/>
      <c r="H12" s="60"/>
      <c r="I12" s="60"/>
      <c r="J12" s="60"/>
      <c r="K12" s="60"/>
      <c r="L12" s="60"/>
      <c r="M12" s="60"/>
      <c r="N12" s="60"/>
      <c r="O12" s="60"/>
      <c r="P12" s="60"/>
      <c r="Q12" s="60"/>
      <c r="R12" s="60"/>
      <c r="S12" s="60"/>
      <c r="T12" s="60"/>
      <c r="U12" s="60"/>
      <c r="V12" s="60"/>
      <c r="W12" s="70"/>
      <c r="X12" s="70"/>
      <c r="Y12" s="70"/>
      <c r="Z12" s="70"/>
      <c r="AA12" s="70"/>
      <c r="AB12" s="70"/>
      <c r="AC12" s="70"/>
      <c r="AD12" s="70"/>
      <c r="AE12" s="70"/>
      <c r="AF12" s="70"/>
      <c r="AG12" s="70"/>
      <c r="AH12" s="70"/>
      <c r="AI12" s="70"/>
      <c r="AJ12" s="70"/>
      <c r="AK12" s="70"/>
      <c r="AL12" s="70"/>
      <c r="AM12" s="71"/>
    </row>
    <row r="13" spans="1:39" ht="14.25">
      <c r="A13" s="60"/>
      <c r="B13" s="66"/>
      <c r="C13" s="60"/>
      <c r="D13" s="60"/>
      <c r="E13" s="60"/>
      <c r="F13" s="60"/>
      <c r="G13" s="60"/>
      <c r="H13" s="60"/>
      <c r="I13" s="60"/>
      <c r="J13" s="60"/>
      <c r="K13" s="60"/>
      <c r="L13" s="60"/>
      <c r="M13" s="60"/>
      <c r="N13" s="60"/>
      <c r="O13" s="1044" t="s">
        <v>171</v>
      </c>
      <c r="P13" s="1044"/>
      <c r="Q13" s="1044"/>
      <c r="R13" s="1044"/>
      <c r="S13" s="1044"/>
      <c r="T13" s="1044"/>
      <c r="U13" s="1044"/>
      <c r="V13" s="60"/>
      <c r="W13" s="1046">
        <f>宿泊者名簿!I11</f>
        <v>0</v>
      </c>
      <c r="X13" s="1046"/>
      <c r="Y13" s="1046"/>
      <c r="Z13" s="1046"/>
      <c r="AA13" s="1046"/>
      <c r="AB13" s="1046"/>
      <c r="AC13" s="1046"/>
      <c r="AD13" s="1046"/>
      <c r="AE13" s="1046"/>
      <c r="AF13" s="1046"/>
      <c r="AG13" s="1046"/>
      <c r="AH13" s="1046"/>
      <c r="AI13" s="1046"/>
      <c r="AJ13" s="1046"/>
      <c r="AK13" s="1046"/>
      <c r="AL13" s="1046"/>
      <c r="AM13" s="1047"/>
    </row>
    <row r="14" spans="1:39" ht="9.75" customHeight="1">
      <c r="A14" s="60"/>
      <c r="B14" s="66"/>
      <c r="C14" s="60"/>
      <c r="D14" s="60"/>
      <c r="E14" s="60"/>
      <c r="F14" s="60"/>
      <c r="G14" s="60"/>
      <c r="H14" s="60"/>
      <c r="I14" s="60"/>
      <c r="J14" s="60"/>
      <c r="K14" s="60"/>
      <c r="L14" s="60"/>
      <c r="M14" s="60"/>
      <c r="N14" s="60"/>
      <c r="O14" s="60"/>
      <c r="P14" s="60"/>
      <c r="Q14" s="60"/>
      <c r="R14" s="60"/>
      <c r="S14" s="60"/>
      <c r="T14" s="60"/>
      <c r="U14" s="60"/>
      <c r="V14" s="60"/>
      <c r="W14" s="1046"/>
      <c r="X14" s="1046"/>
      <c r="Y14" s="1046"/>
      <c r="Z14" s="1046"/>
      <c r="AA14" s="1046"/>
      <c r="AB14" s="1046"/>
      <c r="AC14" s="1046"/>
      <c r="AD14" s="1046"/>
      <c r="AE14" s="1046"/>
      <c r="AF14" s="1046"/>
      <c r="AG14" s="1046"/>
      <c r="AH14" s="1046"/>
      <c r="AI14" s="1046"/>
      <c r="AJ14" s="1046"/>
      <c r="AK14" s="1046"/>
      <c r="AL14" s="1046"/>
      <c r="AM14" s="1047"/>
    </row>
    <row r="15" spans="1:39" ht="14.25">
      <c r="A15" s="60"/>
      <c r="B15" s="66"/>
      <c r="C15" s="60"/>
      <c r="D15" s="60"/>
      <c r="E15" s="60"/>
      <c r="F15" s="60"/>
      <c r="G15" s="60"/>
      <c r="H15" s="60"/>
      <c r="I15" s="60"/>
      <c r="J15" s="60"/>
      <c r="K15" s="60"/>
      <c r="L15" s="60"/>
      <c r="M15" s="60"/>
      <c r="N15" s="60"/>
      <c r="O15" s="933" t="s">
        <v>172</v>
      </c>
      <c r="P15" s="933"/>
      <c r="Q15" s="933"/>
      <c r="R15" s="933"/>
      <c r="S15" s="933"/>
      <c r="T15" s="933"/>
      <c r="U15" s="933"/>
      <c r="V15" s="60"/>
      <c r="W15" s="1046">
        <f>宿泊者名簿!A7</f>
        <v>0</v>
      </c>
      <c r="X15" s="1046"/>
      <c r="Y15" s="1046"/>
      <c r="Z15" s="1046"/>
      <c r="AA15" s="1046"/>
      <c r="AB15" s="1046"/>
      <c r="AC15" s="1046"/>
      <c r="AD15" s="1046"/>
      <c r="AE15" s="1046"/>
      <c r="AF15" s="1046"/>
      <c r="AG15" s="1046"/>
      <c r="AH15" s="1046"/>
      <c r="AI15" s="1046"/>
      <c r="AJ15" s="1046"/>
      <c r="AK15" s="1046"/>
      <c r="AL15" s="1046"/>
      <c r="AM15" s="1047"/>
    </row>
    <row r="16" spans="1:39" ht="9" customHeight="1">
      <c r="A16" s="60"/>
      <c r="B16" s="66"/>
      <c r="C16" s="60"/>
      <c r="D16" s="60"/>
      <c r="E16" s="60"/>
      <c r="F16" s="60"/>
      <c r="G16" s="60"/>
      <c r="H16" s="60"/>
      <c r="I16" s="60"/>
      <c r="J16" s="60"/>
      <c r="K16" s="60"/>
      <c r="L16" s="60"/>
      <c r="M16" s="60"/>
      <c r="N16" s="60"/>
      <c r="O16" s="60"/>
      <c r="P16" s="60"/>
      <c r="Q16" s="60"/>
      <c r="R16" s="60"/>
      <c r="S16" s="60"/>
      <c r="T16" s="60"/>
      <c r="U16" s="60"/>
      <c r="V16" s="60"/>
      <c r="W16" s="1046"/>
      <c r="X16" s="1046"/>
      <c r="Y16" s="1046"/>
      <c r="Z16" s="1046"/>
      <c r="AA16" s="1046"/>
      <c r="AB16" s="1046"/>
      <c r="AC16" s="1046"/>
      <c r="AD16" s="1046"/>
      <c r="AE16" s="1046"/>
      <c r="AF16" s="1046"/>
      <c r="AG16" s="1046"/>
      <c r="AH16" s="1046"/>
      <c r="AI16" s="1046"/>
      <c r="AJ16" s="1046"/>
      <c r="AK16" s="1046"/>
      <c r="AL16" s="1046"/>
      <c r="AM16" s="1047"/>
    </row>
    <row r="17" spans="1:46" ht="14.25">
      <c r="A17" s="60"/>
      <c r="B17" s="66"/>
      <c r="C17" s="60"/>
      <c r="D17" s="60"/>
      <c r="E17" s="60"/>
      <c r="F17" s="60"/>
      <c r="G17" s="60"/>
      <c r="H17" s="60"/>
      <c r="I17" s="60"/>
      <c r="J17" s="1044" t="s">
        <v>173</v>
      </c>
      <c r="K17" s="1044"/>
      <c r="L17" s="1044"/>
      <c r="M17" s="1044"/>
      <c r="N17" s="1044"/>
      <c r="O17" s="1044"/>
      <c r="P17" s="1044"/>
      <c r="Q17" s="1044"/>
      <c r="R17" s="1044"/>
      <c r="S17" s="1044"/>
      <c r="T17" s="1044"/>
      <c r="U17" s="1044"/>
      <c r="V17" s="60"/>
      <c r="W17" s="1054">
        <f>宿泊者名簿!D8</f>
        <v>0</v>
      </c>
      <c r="X17" s="1054"/>
      <c r="Y17" s="1054"/>
      <c r="Z17" s="1054"/>
      <c r="AA17" s="1054"/>
      <c r="AB17" s="1054"/>
      <c r="AC17" s="1054"/>
      <c r="AD17" s="1054"/>
      <c r="AE17" s="1054"/>
      <c r="AF17" s="1054"/>
      <c r="AG17" s="1054"/>
      <c r="AH17" s="1054"/>
      <c r="AI17" s="1054"/>
      <c r="AJ17" s="1054"/>
      <c r="AK17" s="1054"/>
      <c r="AL17" s="1054"/>
      <c r="AM17" s="1055"/>
    </row>
    <row r="18" spans="1:46" ht="6" customHeight="1">
      <c r="A18" s="60"/>
      <c r="B18" s="66"/>
      <c r="C18" s="60"/>
      <c r="D18" s="60"/>
      <c r="E18" s="60"/>
      <c r="F18" s="60"/>
      <c r="G18" s="60"/>
      <c r="H18" s="60"/>
      <c r="I18" s="60"/>
      <c r="J18" s="60"/>
      <c r="K18" s="60"/>
      <c r="L18" s="60"/>
      <c r="M18" s="60"/>
      <c r="N18" s="60"/>
      <c r="O18" s="60"/>
      <c r="P18" s="60"/>
      <c r="Q18" s="60"/>
      <c r="R18" s="60"/>
      <c r="S18" s="60"/>
      <c r="T18" s="60"/>
      <c r="U18" s="60"/>
      <c r="V18" s="60"/>
      <c r="W18" s="70"/>
      <c r="X18" s="70"/>
      <c r="Y18" s="70"/>
      <c r="Z18" s="70"/>
      <c r="AA18" s="70"/>
      <c r="AB18" s="70"/>
      <c r="AC18" s="70"/>
      <c r="AD18" s="70"/>
      <c r="AE18" s="70"/>
      <c r="AF18" s="70"/>
      <c r="AG18" s="70"/>
      <c r="AH18" s="70"/>
      <c r="AI18" s="70"/>
      <c r="AJ18" s="70"/>
      <c r="AK18" s="70"/>
      <c r="AL18" s="70"/>
      <c r="AM18" s="71"/>
    </row>
    <row r="19" spans="1:46" ht="14.25">
      <c r="A19" s="60"/>
      <c r="B19" s="66"/>
      <c r="C19" s="60"/>
      <c r="D19" s="60"/>
      <c r="E19" s="60"/>
      <c r="F19" s="60"/>
      <c r="G19" s="60"/>
      <c r="H19" s="60"/>
      <c r="I19" s="60"/>
      <c r="J19" s="60"/>
      <c r="K19" s="60"/>
      <c r="L19" s="60"/>
      <c r="M19" s="60"/>
      <c r="N19" s="60"/>
      <c r="O19" s="60"/>
      <c r="P19" s="60"/>
      <c r="Q19" s="1044" t="s">
        <v>174</v>
      </c>
      <c r="R19" s="1044"/>
      <c r="S19" s="1044"/>
      <c r="T19" s="1044"/>
      <c r="U19" s="1044"/>
      <c r="V19" s="60"/>
      <c r="W19" s="1048">
        <f>宿泊者名簿!I8</f>
        <v>0</v>
      </c>
      <c r="X19" s="1048"/>
      <c r="Y19" s="1048"/>
      <c r="Z19" s="1048"/>
      <c r="AA19" s="1048"/>
      <c r="AB19" s="1048"/>
      <c r="AC19" s="1048"/>
      <c r="AD19" s="1048"/>
      <c r="AE19" s="1048"/>
      <c r="AF19" s="1048"/>
      <c r="AG19" s="1048"/>
      <c r="AH19" s="1048"/>
      <c r="AI19" s="1048"/>
      <c r="AJ19" s="1048"/>
      <c r="AK19" s="1048"/>
      <c r="AL19" s="1048"/>
      <c r="AM19" s="1049"/>
    </row>
    <row r="20" spans="1:46" ht="6" customHeight="1">
      <c r="A20" s="60"/>
      <c r="B20" s="66"/>
      <c r="C20" s="60"/>
      <c r="D20" s="60"/>
      <c r="E20" s="60"/>
      <c r="F20" s="60"/>
      <c r="G20" s="60"/>
      <c r="H20" s="60"/>
      <c r="I20" s="60"/>
      <c r="J20" s="60"/>
      <c r="K20" s="60"/>
      <c r="L20" s="60"/>
      <c r="M20" s="60"/>
      <c r="N20" s="60"/>
      <c r="O20" s="60"/>
      <c r="P20" s="60"/>
      <c r="Q20" s="68"/>
      <c r="R20" s="68"/>
      <c r="S20" s="68"/>
      <c r="T20" s="68"/>
      <c r="U20" s="68"/>
      <c r="V20" s="60"/>
      <c r="W20" s="135"/>
      <c r="X20" s="135"/>
      <c r="Y20" s="135"/>
      <c r="Z20" s="135"/>
      <c r="AA20" s="135"/>
      <c r="AB20" s="135"/>
      <c r="AC20" s="135"/>
      <c r="AD20" s="135"/>
      <c r="AE20" s="135"/>
      <c r="AF20" s="135"/>
      <c r="AG20" s="135"/>
      <c r="AH20" s="135"/>
      <c r="AI20" s="135"/>
      <c r="AJ20" s="135"/>
      <c r="AK20" s="135"/>
      <c r="AL20" s="135"/>
      <c r="AM20" s="136"/>
    </row>
    <row r="21" spans="1:46" ht="14.25">
      <c r="A21" s="60"/>
      <c r="B21" s="66"/>
      <c r="C21" s="60"/>
      <c r="D21" s="60"/>
      <c r="E21" s="60"/>
      <c r="F21" s="60"/>
      <c r="G21" s="60"/>
      <c r="H21" s="60"/>
      <c r="I21" s="60"/>
      <c r="J21" s="60"/>
      <c r="K21" s="60"/>
      <c r="L21" s="60"/>
      <c r="M21" s="60"/>
      <c r="N21" s="60"/>
      <c r="O21" s="60"/>
      <c r="P21" s="60"/>
      <c r="Q21" s="1044"/>
      <c r="R21" s="1044"/>
      <c r="S21" s="1044"/>
      <c r="T21" s="1044"/>
      <c r="U21" s="1044"/>
      <c r="V21" s="60"/>
      <c r="W21" s="1048"/>
      <c r="X21" s="1048"/>
      <c r="Y21" s="1048"/>
      <c r="Z21" s="1048"/>
      <c r="AA21" s="1048"/>
      <c r="AB21" s="1048"/>
      <c r="AC21" s="1048"/>
      <c r="AD21" s="1048"/>
      <c r="AE21" s="1048"/>
      <c r="AF21" s="1048"/>
      <c r="AG21" s="1048"/>
      <c r="AH21" s="1048"/>
      <c r="AI21" s="1048"/>
      <c r="AJ21" s="1048"/>
      <c r="AK21" s="1048"/>
      <c r="AL21" s="1048"/>
      <c r="AM21" s="1049"/>
    </row>
    <row r="22" spans="1:46" ht="6" customHeight="1">
      <c r="A22" s="60"/>
      <c r="B22" s="66"/>
      <c r="C22" s="60"/>
      <c r="D22" s="60"/>
      <c r="E22" s="60"/>
      <c r="F22" s="60"/>
      <c r="G22" s="60"/>
      <c r="H22" s="60"/>
      <c r="I22" s="60"/>
      <c r="J22" s="60"/>
      <c r="K22" s="60"/>
      <c r="L22" s="60"/>
      <c r="M22" s="60"/>
      <c r="N22" s="60"/>
      <c r="O22" s="60"/>
      <c r="P22" s="60"/>
      <c r="Q22" s="68"/>
      <c r="R22" s="68"/>
      <c r="S22" s="68"/>
      <c r="T22" s="68"/>
      <c r="U22" s="68"/>
      <c r="V22" s="60"/>
      <c r="W22" s="147"/>
      <c r="X22" s="147"/>
      <c r="Y22" s="147"/>
      <c r="Z22" s="147"/>
      <c r="AA22" s="147"/>
      <c r="AB22" s="147"/>
      <c r="AC22" s="147"/>
      <c r="AD22" s="147"/>
      <c r="AE22" s="147"/>
      <c r="AF22" s="147"/>
      <c r="AG22" s="147"/>
      <c r="AH22" s="147"/>
      <c r="AI22" s="147"/>
      <c r="AJ22" s="147"/>
      <c r="AK22" s="147"/>
      <c r="AL22" s="147"/>
      <c r="AM22" s="67"/>
    </row>
    <row r="23" spans="1:46" ht="14.25">
      <c r="A23" s="60"/>
      <c r="B23" s="66"/>
      <c r="C23" s="1040" t="s">
        <v>175</v>
      </c>
      <c r="D23" s="1040"/>
      <c r="E23" s="1040"/>
      <c r="F23" s="1040"/>
      <c r="G23" s="1040"/>
      <c r="H23" s="1040"/>
      <c r="I23" s="1040"/>
      <c r="J23" s="1040"/>
      <c r="K23" s="1040"/>
      <c r="L23" s="1040"/>
      <c r="M23" s="1040"/>
      <c r="N23" s="1040"/>
      <c r="O23" s="1040"/>
      <c r="P23" s="1040"/>
      <c r="Q23" s="1040"/>
      <c r="R23" s="1040"/>
      <c r="S23" s="1040"/>
      <c r="T23" s="1040"/>
      <c r="U23" s="1040"/>
      <c r="V23" s="1040"/>
      <c r="W23" s="1040"/>
      <c r="X23" s="1040"/>
      <c r="Y23" s="1040"/>
      <c r="Z23" s="1040"/>
      <c r="AA23" s="1040"/>
      <c r="AB23" s="1040"/>
      <c r="AC23" s="1040"/>
      <c r="AD23" s="1040"/>
      <c r="AE23" s="1040"/>
      <c r="AF23" s="1040"/>
      <c r="AG23" s="1040"/>
      <c r="AH23" s="1040"/>
      <c r="AI23" s="1040"/>
      <c r="AJ23" s="1040"/>
      <c r="AK23" s="1040"/>
      <c r="AL23" s="1040"/>
      <c r="AM23" s="67"/>
    </row>
    <row r="24" spans="1:46" ht="7.5" customHeight="1">
      <c r="A24" s="60"/>
      <c r="B24" s="66"/>
      <c r="AL24" s="60"/>
      <c r="AM24" s="67"/>
    </row>
    <row r="25" spans="1:46" ht="14.25">
      <c r="A25" s="60"/>
      <c r="B25" s="66"/>
      <c r="C25" s="933" t="s">
        <v>176</v>
      </c>
      <c r="D25" s="933"/>
      <c r="E25" s="933"/>
      <c r="F25" s="933"/>
      <c r="G25" s="933"/>
      <c r="H25" s="933"/>
      <c r="I25" s="933"/>
      <c r="J25" s="933"/>
      <c r="K25" s="933"/>
      <c r="L25" s="933"/>
      <c r="M25" s="933"/>
      <c r="N25" s="933"/>
      <c r="O25" s="933"/>
      <c r="P25" s="933"/>
      <c r="Q25" s="933"/>
      <c r="R25" s="933"/>
      <c r="S25" s="933"/>
      <c r="T25" s="933"/>
      <c r="U25" s="933"/>
      <c r="V25" s="933"/>
      <c r="W25" s="933"/>
      <c r="X25" s="933"/>
      <c r="Y25" s="933"/>
      <c r="Z25" s="933"/>
      <c r="AA25" s="933"/>
      <c r="AB25" s="933"/>
      <c r="AC25" s="933"/>
      <c r="AD25" s="933"/>
      <c r="AE25" s="933"/>
      <c r="AF25" s="933"/>
      <c r="AG25" s="933"/>
      <c r="AH25" s="933"/>
      <c r="AI25" s="933"/>
      <c r="AJ25" s="933"/>
      <c r="AK25" s="933"/>
      <c r="AL25" s="60"/>
      <c r="AM25" s="67"/>
    </row>
    <row r="26" spans="1:46" ht="7.5" customHeight="1">
      <c r="A26" s="60"/>
      <c r="B26" s="66"/>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7"/>
    </row>
    <row r="27" spans="1:46" ht="12" customHeight="1">
      <c r="A27" s="60"/>
      <c r="B27" s="1031" t="s">
        <v>177</v>
      </c>
      <c r="C27" s="960"/>
      <c r="D27" s="960"/>
      <c r="E27" s="960"/>
      <c r="F27" s="960"/>
      <c r="G27" s="960"/>
      <c r="H27" s="960"/>
      <c r="I27" s="960"/>
      <c r="J27" s="1050">
        <f>宿泊者名簿!D12</f>
        <v>0</v>
      </c>
      <c r="K27" s="1036"/>
      <c r="L27" s="1036"/>
      <c r="M27" s="1036"/>
      <c r="N27" s="1036"/>
      <c r="O27" s="1036"/>
      <c r="P27" s="1036"/>
      <c r="Q27" s="1036"/>
      <c r="R27" s="1036"/>
      <c r="S27" s="1036"/>
      <c r="T27" s="1036"/>
      <c r="U27" s="1036"/>
      <c r="V27" s="1036"/>
      <c r="W27" s="1036"/>
      <c r="X27" s="1036"/>
      <c r="Y27" s="1036"/>
      <c r="Z27" s="1036"/>
      <c r="AA27" s="1036"/>
      <c r="AB27" s="1036"/>
      <c r="AC27" s="1036"/>
      <c r="AD27" s="1036"/>
      <c r="AE27" s="1036"/>
      <c r="AF27" s="1036"/>
      <c r="AG27" s="1036"/>
      <c r="AH27" s="1036"/>
      <c r="AI27" s="1036"/>
      <c r="AJ27" s="1036"/>
      <c r="AK27" s="1036"/>
      <c r="AL27" s="1036"/>
      <c r="AM27" s="1051"/>
    </row>
    <row r="28" spans="1:46" ht="12" customHeight="1">
      <c r="A28" s="60"/>
      <c r="B28" s="963"/>
      <c r="C28" s="908"/>
      <c r="D28" s="908"/>
      <c r="E28" s="908"/>
      <c r="F28" s="908"/>
      <c r="G28" s="908"/>
      <c r="H28" s="908"/>
      <c r="I28" s="908"/>
      <c r="J28" s="1052"/>
      <c r="K28" s="1025"/>
      <c r="L28" s="1025"/>
      <c r="M28" s="1025"/>
      <c r="N28" s="1025"/>
      <c r="O28" s="1025"/>
      <c r="P28" s="1025"/>
      <c r="Q28" s="1025"/>
      <c r="R28" s="1025"/>
      <c r="S28" s="1025"/>
      <c r="T28" s="1025"/>
      <c r="U28" s="1025"/>
      <c r="V28" s="1025"/>
      <c r="W28" s="1025"/>
      <c r="X28" s="1025"/>
      <c r="Y28" s="1025"/>
      <c r="Z28" s="1025"/>
      <c r="AA28" s="1025"/>
      <c r="AB28" s="1025"/>
      <c r="AC28" s="1025"/>
      <c r="AD28" s="1025"/>
      <c r="AE28" s="1025"/>
      <c r="AF28" s="1025"/>
      <c r="AG28" s="1025"/>
      <c r="AH28" s="1025"/>
      <c r="AI28" s="1025"/>
      <c r="AJ28" s="1025"/>
      <c r="AK28" s="1025"/>
      <c r="AL28" s="1025"/>
      <c r="AM28" s="1053"/>
    </row>
    <row r="29" spans="1:46" ht="12" customHeight="1">
      <c r="A29" s="60"/>
      <c r="B29" s="1031" t="s">
        <v>178</v>
      </c>
      <c r="C29" s="960"/>
      <c r="D29" s="960"/>
      <c r="E29" s="960"/>
      <c r="F29" s="960"/>
      <c r="G29" s="960"/>
      <c r="H29" s="960"/>
      <c r="I29" s="960"/>
      <c r="J29" s="86"/>
      <c r="K29" s="967" t="s">
        <v>179</v>
      </c>
      <c r="L29" s="967"/>
      <c r="M29" s="967"/>
      <c r="N29" s="931">
        <f>宿泊者名簿!M6</f>
        <v>0</v>
      </c>
      <c r="O29" s="931"/>
      <c r="P29" s="1021" t="s">
        <v>180</v>
      </c>
      <c r="Q29" s="1021"/>
      <c r="R29" s="1021">
        <f>宿泊者名簿!P6</f>
        <v>0</v>
      </c>
      <c r="S29" s="1021"/>
      <c r="T29" s="1021" t="s">
        <v>181</v>
      </c>
      <c r="U29" s="1021"/>
      <c r="V29" s="931">
        <f>宿泊者名簿!R6</f>
        <v>0</v>
      </c>
      <c r="W29" s="931"/>
      <c r="X29" s="1021" t="s">
        <v>182</v>
      </c>
      <c r="Y29" s="1021"/>
      <c r="Z29" s="1036" t="s">
        <v>183</v>
      </c>
      <c r="AA29" s="1034" t="str">
        <f>TEXT(DATE(N29+2018,R29,V29),"aaa")</f>
        <v>木</v>
      </c>
      <c r="AB29" s="1035" t="s">
        <v>184</v>
      </c>
      <c r="AC29" s="137"/>
      <c r="AD29" s="931"/>
      <c r="AE29" s="931"/>
      <c r="AF29" s="1056">
        <f>活動申込!C12</f>
        <v>0</v>
      </c>
      <c r="AG29" s="1021"/>
      <c r="AH29" s="1021"/>
      <c r="AI29" s="1021"/>
      <c r="AJ29" s="137"/>
      <c r="AK29" s="1057" t="s">
        <v>185</v>
      </c>
      <c r="AL29" s="1057"/>
      <c r="AM29" s="1058"/>
      <c r="AS29" s="72"/>
    </row>
    <row r="30" spans="1:46" ht="12" customHeight="1">
      <c r="A30" s="60"/>
      <c r="B30" s="961"/>
      <c r="C30" s="962"/>
      <c r="D30" s="962"/>
      <c r="E30" s="962"/>
      <c r="F30" s="962"/>
      <c r="G30" s="962"/>
      <c r="H30" s="962"/>
      <c r="I30" s="962"/>
      <c r="J30" s="87"/>
      <c r="K30" s="969"/>
      <c r="L30" s="969"/>
      <c r="M30" s="969"/>
      <c r="N30" s="933"/>
      <c r="O30" s="933"/>
      <c r="P30" s="1022"/>
      <c r="Q30" s="1022"/>
      <c r="R30" s="1022"/>
      <c r="S30" s="1022"/>
      <c r="T30" s="1022"/>
      <c r="U30" s="1022"/>
      <c r="V30" s="933"/>
      <c r="W30" s="933"/>
      <c r="X30" s="1022"/>
      <c r="Y30" s="1022"/>
      <c r="Z30" s="1024"/>
      <c r="AA30" s="933"/>
      <c r="AB30" s="1028"/>
      <c r="AC30" s="148"/>
      <c r="AD30" s="933"/>
      <c r="AE30" s="933"/>
      <c r="AF30" s="1022"/>
      <c r="AG30" s="1022"/>
      <c r="AH30" s="1022"/>
      <c r="AI30" s="1022"/>
      <c r="AJ30" s="148"/>
      <c r="AK30" s="1011"/>
      <c r="AL30" s="1011"/>
      <c r="AM30" s="1012"/>
      <c r="AS30" s="72"/>
      <c r="AT30" s="74"/>
    </row>
    <row r="31" spans="1:46" ht="12" customHeight="1">
      <c r="A31" s="60"/>
      <c r="B31" s="961"/>
      <c r="C31" s="962"/>
      <c r="D31" s="962"/>
      <c r="E31" s="962"/>
      <c r="F31" s="962"/>
      <c r="G31" s="962"/>
      <c r="H31" s="962"/>
      <c r="I31" s="962"/>
      <c r="J31" s="87"/>
      <c r="K31" s="969" t="s">
        <v>179</v>
      </c>
      <c r="L31" s="969"/>
      <c r="M31" s="969"/>
      <c r="N31" s="933">
        <f>宿泊者名簿!M6</f>
        <v>0</v>
      </c>
      <c r="O31" s="933"/>
      <c r="P31" s="1022" t="s">
        <v>180</v>
      </c>
      <c r="Q31" s="1022"/>
      <c r="R31" s="1022" t="e">
        <f>MONTH(DATE(宿泊者名簿!M6,宿泊者名簿!P6,宿泊者名簿!R6)+宿泊者名簿!M9)</f>
        <v>#NUM!</v>
      </c>
      <c r="S31" s="1022"/>
      <c r="T31" s="1022" t="s">
        <v>181</v>
      </c>
      <c r="U31" s="1022"/>
      <c r="V31" s="933" t="e">
        <f>DAY(DATE(宿泊者名簿!M6,宿泊者名簿!P6,宿泊者名簿!R6)+宿泊者名簿!M9)</f>
        <v>#NUM!</v>
      </c>
      <c r="W31" s="933"/>
      <c r="X31" s="1022" t="s">
        <v>182</v>
      </c>
      <c r="Y31" s="1022"/>
      <c r="Z31" s="1024" t="s">
        <v>183</v>
      </c>
      <c r="AA31" s="1026" t="e">
        <f>TEXT(DATE(N31+2018,R31,V31),"aaa")</f>
        <v>#NUM!</v>
      </c>
      <c r="AB31" s="1028" t="s">
        <v>184</v>
      </c>
      <c r="AC31" s="148"/>
      <c r="AD31" s="933"/>
      <c r="AE31" s="933"/>
      <c r="AF31" s="1030">
        <f>活動申込!R12</f>
        <v>0</v>
      </c>
      <c r="AG31" s="1022"/>
      <c r="AH31" s="1022"/>
      <c r="AI31" s="1022"/>
      <c r="AJ31" s="148"/>
      <c r="AK31" s="1011" t="s">
        <v>186</v>
      </c>
      <c r="AL31" s="1011"/>
      <c r="AM31" s="1012"/>
    </row>
    <row r="32" spans="1:46" ht="12" customHeight="1">
      <c r="A32" s="60"/>
      <c r="B32" s="963"/>
      <c r="C32" s="908"/>
      <c r="D32" s="908"/>
      <c r="E32" s="908"/>
      <c r="F32" s="908"/>
      <c r="G32" s="908"/>
      <c r="H32" s="908"/>
      <c r="I32" s="908"/>
      <c r="J32" s="88"/>
      <c r="K32" s="1009"/>
      <c r="L32" s="1009"/>
      <c r="M32" s="1009"/>
      <c r="N32" s="935"/>
      <c r="O32" s="935"/>
      <c r="P32" s="1023"/>
      <c r="Q32" s="1023"/>
      <c r="R32" s="1023"/>
      <c r="S32" s="1023"/>
      <c r="T32" s="1023"/>
      <c r="U32" s="1023"/>
      <c r="V32" s="935"/>
      <c r="W32" s="935"/>
      <c r="X32" s="1023"/>
      <c r="Y32" s="1023"/>
      <c r="Z32" s="1025"/>
      <c r="AA32" s="1027"/>
      <c r="AB32" s="1029"/>
      <c r="AC32" s="138"/>
      <c r="AD32" s="935"/>
      <c r="AE32" s="935"/>
      <c r="AF32" s="1023"/>
      <c r="AG32" s="1023"/>
      <c r="AH32" s="1023"/>
      <c r="AI32" s="1023"/>
      <c r="AJ32" s="138"/>
      <c r="AK32" s="1013"/>
      <c r="AL32" s="1013"/>
      <c r="AM32" s="1014"/>
      <c r="AS32" s="72"/>
      <c r="AT32" s="74"/>
    </row>
    <row r="33" spans="1:46" ht="12" customHeight="1">
      <c r="A33" s="60"/>
      <c r="B33" s="1015" t="s">
        <v>187</v>
      </c>
      <c r="C33" s="931"/>
      <c r="D33" s="931"/>
      <c r="E33" s="931"/>
      <c r="F33" s="931"/>
      <c r="G33" s="931"/>
      <c r="H33" s="931"/>
      <c r="I33" s="932"/>
      <c r="J33" s="1017" t="s">
        <v>188</v>
      </c>
      <c r="K33" s="1018"/>
      <c r="L33" s="931">
        <f>宿泊者名簿!R16</f>
        <v>0</v>
      </c>
      <c r="M33" s="931"/>
      <c r="N33" s="931"/>
      <c r="O33" s="1021" t="s">
        <v>189</v>
      </c>
      <c r="P33" s="1021"/>
      <c r="Q33" s="1021" t="s">
        <v>190</v>
      </c>
      <c r="R33" s="1021"/>
      <c r="S33" s="931" t="s">
        <v>191</v>
      </c>
      <c r="T33" s="931"/>
      <c r="U33" s="931">
        <f>宿泊者名簿!R17</f>
        <v>0</v>
      </c>
      <c r="V33" s="931"/>
      <c r="W33" s="931"/>
      <c r="X33" s="1021" t="s">
        <v>189</v>
      </c>
      <c r="Y33" s="1021"/>
      <c r="Z33" s="1021" t="s">
        <v>190</v>
      </c>
      <c r="AA33" s="1021"/>
      <c r="AB33" s="1021" t="s">
        <v>192</v>
      </c>
      <c r="AC33" s="1021"/>
      <c r="AD33" s="931">
        <f>L33+U33</f>
        <v>0</v>
      </c>
      <c r="AE33" s="931"/>
      <c r="AF33" s="931"/>
      <c r="AG33" s="1021" t="s">
        <v>189</v>
      </c>
      <c r="AH33" s="1021"/>
      <c r="AI33" s="993"/>
      <c r="AJ33" s="993"/>
      <c r="AK33" s="993"/>
      <c r="AL33" s="993"/>
      <c r="AM33" s="998"/>
    </row>
    <row r="34" spans="1:46" ht="12" customHeight="1">
      <c r="A34" s="60"/>
      <c r="B34" s="1016"/>
      <c r="C34" s="933"/>
      <c r="D34" s="933"/>
      <c r="E34" s="933"/>
      <c r="F34" s="933"/>
      <c r="G34" s="933"/>
      <c r="H34" s="933"/>
      <c r="I34" s="934"/>
      <c r="J34" s="1019"/>
      <c r="K34" s="1020"/>
      <c r="L34" s="933"/>
      <c r="M34" s="933"/>
      <c r="N34" s="933"/>
      <c r="O34" s="1022"/>
      <c r="P34" s="1022"/>
      <c r="Q34" s="1022"/>
      <c r="R34" s="1022"/>
      <c r="S34" s="933"/>
      <c r="T34" s="933"/>
      <c r="U34" s="933"/>
      <c r="V34" s="933"/>
      <c r="W34" s="933"/>
      <c r="X34" s="1022"/>
      <c r="Y34" s="1022"/>
      <c r="Z34" s="1022"/>
      <c r="AA34" s="1022"/>
      <c r="AB34" s="1022"/>
      <c r="AC34" s="1022"/>
      <c r="AD34" s="933"/>
      <c r="AE34" s="933"/>
      <c r="AF34" s="933"/>
      <c r="AG34" s="1022"/>
      <c r="AH34" s="1022"/>
      <c r="AI34" s="1032"/>
      <c r="AJ34" s="1032"/>
      <c r="AK34" s="1032"/>
      <c r="AL34" s="1032"/>
      <c r="AM34" s="1033"/>
    </row>
    <row r="35" spans="1:46" ht="12" customHeight="1">
      <c r="A35" s="60"/>
      <c r="B35" s="959" t="s">
        <v>193</v>
      </c>
      <c r="C35" s="960"/>
      <c r="D35" s="960"/>
      <c r="E35" s="960"/>
      <c r="F35" s="960"/>
      <c r="G35" s="960"/>
      <c r="H35" s="960"/>
      <c r="I35" s="960"/>
      <c r="J35" s="1000" t="s">
        <v>230</v>
      </c>
      <c r="K35" s="1001"/>
      <c r="L35" s="1002"/>
      <c r="M35" s="1003">
        <f>宿泊者名簿!D9</f>
        <v>0</v>
      </c>
      <c r="N35" s="1004"/>
      <c r="O35" s="1004"/>
      <c r="P35" s="1004"/>
      <c r="Q35" s="1004"/>
      <c r="R35" s="1004"/>
      <c r="S35" s="1004"/>
      <c r="T35" s="1004"/>
      <c r="U35" s="1004"/>
      <c r="V35" s="1004"/>
      <c r="W35" s="1004"/>
      <c r="X35" s="1005"/>
      <c r="Y35" s="139"/>
      <c r="Z35" s="932" t="s">
        <v>195</v>
      </c>
      <c r="AA35" s="960"/>
      <c r="AB35" s="960"/>
      <c r="AC35" s="964"/>
      <c r="AD35" s="967">
        <f>宿泊者名簿!I8</f>
        <v>0</v>
      </c>
      <c r="AE35" s="967"/>
      <c r="AF35" s="967"/>
      <c r="AG35" s="967"/>
      <c r="AH35" s="967"/>
      <c r="AI35" s="967"/>
      <c r="AJ35" s="967"/>
      <c r="AK35" s="967"/>
      <c r="AL35" s="967"/>
      <c r="AM35" s="968"/>
    </row>
    <row r="36" spans="1:46" ht="12" customHeight="1">
      <c r="A36" s="60"/>
      <c r="B36" s="961"/>
      <c r="C36" s="962"/>
      <c r="D36" s="962"/>
      <c r="E36" s="962"/>
      <c r="F36" s="962"/>
      <c r="G36" s="962"/>
      <c r="H36" s="962"/>
      <c r="I36" s="962"/>
      <c r="J36" s="1006" t="s">
        <v>231</v>
      </c>
      <c r="K36" s="969"/>
      <c r="L36" s="1007"/>
      <c r="M36" s="1006">
        <f>宿泊者名簿!D10</f>
        <v>0</v>
      </c>
      <c r="N36" s="969"/>
      <c r="O36" s="969"/>
      <c r="P36" s="969"/>
      <c r="Q36" s="969"/>
      <c r="R36" s="969"/>
      <c r="S36" s="969"/>
      <c r="T36" s="969"/>
      <c r="U36" s="969"/>
      <c r="V36" s="969"/>
      <c r="W36" s="969"/>
      <c r="X36" s="1007"/>
      <c r="Y36" s="140"/>
      <c r="Z36" s="934"/>
      <c r="AA36" s="962"/>
      <c r="AB36" s="962"/>
      <c r="AC36" s="965"/>
      <c r="AD36" s="969"/>
      <c r="AE36" s="969"/>
      <c r="AF36" s="969"/>
      <c r="AG36" s="969"/>
      <c r="AH36" s="969"/>
      <c r="AI36" s="969"/>
      <c r="AJ36" s="969"/>
      <c r="AK36" s="969"/>
      <c r="AL36" s="969"/>
      <c r="AM36" s="970"/>
      <c r="AS36" s="72"/>
      <c r="AT36" s="75"/>
    </row>
    <row r="37" spans="1:46" ht="12" customHeight="1" thickBot="1">
      <c r="A37" s="60"/>
      <c r="B37" s="963"/>
      <c r="C37" s="908"/>
      <c r="D37" s="908"/>
      <c r="E37" s="908"/>
      <c r="F37" s="908"/>
      <c r="G37" s="908"/>
      <c r="H37" s="908"/>
      <c r="I37" s="908"/>
      <c r="J37" s="1008"/>
      <c r="K37" s="1009"/>
      <c r="L37" s="1010"/>
      <c r="M37" s="1008"/>
      <c r="N37" s="1009"/>
      <c r="O37" s="1009"/>
      <c r="P37" s="1009"/>
      <c r="Q37" s="1009"/>
      <c r="R37" s="1009"/>
      <c r="S37" s="1009"/>
      <c r="T37" s="1009"/>
      <c r="U37" s="1009"/>
      <c r="V37" s="1009"/>
      <c r="W37" s="1009"/>
      <c r="X37" s="1010"/>
      <c r="Y37" s="141"/>
      <c r="Z37" s="936"/>
      <c r="AA37" s="908"/>
      <c r="AB37" s="908"/>
      <c r="AC37" s="966"/>
      <c r="AD37" s="969"/>
      <c r="AE37" s="969"/>
      <c r="AF37" s="969"/>
      <c r="AG37" s="969"/>
      <c r="AH37" s="969"/>
      <c r="AI37" s="969"/>
      <c r="AJ37" s="969"/>
      <c r="AK37" s="969"/>
      <c r="AL37" s="969"/>
      <c r="AM37" s="970"/>
    </row>
    <row r="38" spans="1:46" ht="10.15" customHeight="1">
      <c r="A38" s="60"/>
      <c r="B38" s="971" t="s">
        <v>232</v>
      </c>
      <c r="C38" s="972"/>
      <c r="D38" s="972"/>
      <c r="E38" s="972"/>
      <c r="F38" s="977" t="s">
        <v>197</v>
      </c>
      <c r="G38" s="943"/>
      <c r="H38" s="943"/>
      <c r="I38" s="944"/>
      <c r="J38" s="980" t="s">
        <v>198</v>
      </c>
      <c r="K38" s="980"/>
      <c r="L38" s="980"/>
      <c r="M38" s="980"/>
      <c r="N38" s="980"/>
      <c r="O38" s="981" t="s">
        <v>199</v>
      </c>
      <c r="P38" s="982"/>
      <c r="Q38" s="982"/>
      <c r="R38" s="982"/>
      <c r="S38" s="982"/>
      <c r="T38" s="982"/>
      <c r="U38" s="982"/>
      <c r="V38" s="982"/>
      <c r="W38" s="982"/>
      <c r="X38" s="982"/>
      <c r="Y38" s="982"/>
      <c r="Z38" s="982"/>
      <c r="AA38" s="982"/>
      <c r="AB38" s="982"/>
      <c r="AC38" s="982"/>
      <c r="AD38" s="982"/>
      <c r="AE38" s="982"/>
      <c r="AF38" s="982"/>
      <c r="AG38" s="982"/>
      <c r="AH38" s="983"/>
      <c r="AI38" s="987" t="s">
        <v>200</v>
      </c>
      <c r="AJ38" s="988"/>
      <c r="AK38" s="988"/>
      <c r="AL38" s="988"/>
      <c r="AM38" s="989"/>
    </row>
    <row r="39" spans="1:46" ht="10.15" customHeight="1">
      <c r="A39" s="60"/>
      <c r="B39" s="973"/>
      <c r="C39" s="974"/>
      <c r="D39" s="974"/>
      <c r="E39" s="974"/>
      <c r="F39" s="978"/>
      <c r="G39" s="946"/>
      <c r="H39" s="946"/>
      <c r="I39" s="947"/>
      <c r="J39" s="980"/>
      <c r="K39" s="980"/>
      <c r="L39" s="980"/>
      <c r="M39" s="980"/>
      <c r="N39" s="980"/>
      <c r="O39" s="984"/>
      <c r="P39" s="985"/>
      <c r="Q39" s="985"/>
      <c r="R39" s="985"/>
      <c r="S39" s="985"/>
      <c r="T39" s="985"/>
      <c r="U39" s="985"/>
      <c r="V39" s="985"/>
      <c r="W39" s="985"/>
      <c r="X39" s="985"/>
      <c r="Y39" s="985"/>
      <c r="Z39" s="985"/>
      <c r="AA39" s="985"/>
      <c r="AB39" s="985"/>
      <c r="AC39" s="985"/>
      <c r="AD39" s="985"/>
      <c r="AE39" s="985"/>
      <c r="AF39" s="985"/>
      <c r="AG39" s="985"/>
      <c r="AH39" s="986"/>
      <c r="AI39" s="973"/>
      <c r="AJ39" s="974"/>
      <c r="AK39" s="974"/>
      <c r="AL39" s="974"/>
      <c r="AM39" s="990"/>
    </row>
    <row r="40" spans="1:46" ht="10.15" customHeight="1">
      <c r="A40" s="60"/>
      <c r="B40" s="973"/>
      <c r="C40" s="974"/>
      <c r="D40" s="974"/>
      <c r="E40" s="974"/>
      <c r="F40" s="978"/>
      <c r="G40" s="946"/>
      <c r="H40" s="946"/>
      <c r="I40" s="947"/>
      <c r="J40" s="980"/>
      <c r="K40" s="980"/>
      <c r="L40" s="980"/>
      <c r="M40" s="980"/>
      <c r="N40" s="980"/>
      <c r="O40" s="992" t="s">
        <v>201</v>
      </c>
      <c r="P40" s="993"/>
      <c r="Q40" s="993"/>
      <c r="R40" s="993"/>
      <c r="S40" s="994"/>
      <c r="T40" s="993" t="s">
        <v>202</v>
      </c>
      <c r="U40" s="993"/>
      <c r="V40" s="993"/>
      <c r="W40" s="993"/>
      <c r="X40" s="993"/>
      <c r="Y40" s="992" t="s">
        <v>203</v>
      </c>
      <c r="Z40" s="993"/>
      <c r="AA40" s="993"/>
      <c r="AB40" s="993"/>
      <c r="AC40" s="994"/>
      <c r="AD40" s="993" t="s">
        <v>204</v>
      </c>
      <c r="AE40" s="993"/>
      <c r="AF40" s="993"/>
      <c r="AG40" s="993"/>
      <c r="AH40" s="998"/>
      <c r="AI40" s="973"/>
      <c r="AJ40" s="974"/>
      <c r="AK40" s="974"/>
      <c r="AL40" s="974"/>
      <c r="AM40" s="990"/>
    </row>
    <row r="41" spans="1:46" ht="10.15" customHeight="1">
      <c r="A41" s="60"/>
      <c r="B41" s="975"/>
      <c r="C41" s="976"/>
      <c r="D41" s="976"/>
      <c r="E41" s="976"/>
      <c r="F41" s="979"/>
      <c r="G41" s="949"/>
      <c r="H41" s="949"/>
      <c r="I41" s="950"/>
      <c r="J41" s="980"/>
      <c r="K41" s="980"/>
      <c r="L41" s="980"/>
      <c r="M41" s="980"/>
      <c r="N41" s="980"/>
      <c r="O41" s="995"/>
      <c r="P41" s="996"/>
      <c r="Q41" s="996"/>
      <c r="R41" s="996"/>
      <c r="S41" s="997"/>
      <c r="T41" s="996"/>
      <c r="U41" s="996"/>
      <c r="V41" s="996"/>
      <c r="W41" s="996"/>
      <c r="X41" s="996"/>
      <c r="Y41" s="995"/>
      <c r="Z41" s="996"/>
      <c r="AA41" s="996"/>
      <c r="AB41" s="996"/>
      <c r="AC41" s="997"/>
      <c r="AD41" s="996"/>
      <c r="AE41" s="996"/>
      <c r="AF41" s="996"/>
      <c r="AG41" s="996"/>
      <c r="AH41" s="999"/>
      <c r="AI41" s="975"/>
      <c r="AJ41" s="976"/>
      <c r="AK41" s="976"/>
      <c r="AL41" s="976"/>
      <c r="AM41" s="991"/>
      <c r="AS41" s="72"/>
    </row>
    <row r="42" spans="1:46" ht="14.25" customHeight="1">
      <c r="A42" s="60"/>
      <c r="B42" s="942" t="s">
        <v>216</v>
      </c>
      <c r="C42" s="943"/>
      <c r="D42" s="943"/>
      <c r="E42" s="944"/>
      <c r="F42" s="97"/>
      <c r="G42" s="98"/>
      <c r="H42" s="98"/>
      <c r="I42" s="99"/>
      <c r="J42" s="97" t="s">
        <v>188</v>
      </c>
      <c r="K42" s="954">
        <f>COUNTIF(宿泊者名簿!$Z$22:$Z$421,1)</f>
        <v>0</v>
      </c>
      <c r="L42" s="954"/>
      <c r="M42" s="954"/>
      <c r="N42" s="77" t="s">
        <v>189</v>
      </c>
      <c r="O42" s="916">
        <f>COUNTIF(宿泊者名簿!$F$22:$F$421,2)+COUNTIF(宿泊者名簿!$F$22:$F$421,3)</f>
        <v>0</v>
      </c>
      <c r="P42" s="917"/>
      <c r="Q42" s="917"/>
      <c r="R42" s="917"/>
      <c r="S42" s="925"/>
      <c r="T42" s="917">
        <f>COUNTIF(宿泊者名簿!$F$22:$F$421,4)</f>
        <v>0</v>
      </c>
      <c r="U42" s="917"/>
      <c r="V42" s="917"/>
      <c r="W42" s="917"/>
      <c r="X42" s="917"/>
      <c r="Y42" s="916">
        <f>COUNTIF(宿泊者名簿!$F$22:$F$421,5)+COUNTIF(宿泊者名簿!$F$22:$F$421,6)+COUNTIF(宿泊者名簿!$F$22:$F$421,7)</f>
        <v>0</v>
      </c>
      <c r="Z42" s="917"/>
      <c r="AA42" s="917"/>
      <c r="AB42" s="917"/>
      <c r="AC42" s="925"/>
      <c r="AD42" s="917">
        <f>COUNTIF(宿泊者名簿!$F$22:$F$421,1)</f>
        <v>0</v>
      </c>
      <c r="AE42" s="917"/>
      <c r="AF42" s="917"/>
      <c r="AG42" s="917"/>
      <c r="AH42" s="918"/>
      <c r="AI42" s="931"/>
      <c r="AJ42" s="931"/>
      <c r="AK42" s="931"/>
      <c r="AL42" s="931"/>
      <c r="AM42" s="932"/>
      <c r="AS42" s="78"/>
    </row>
    <row r="43" spans="1:46" ht="14.25" customHeight="1">
      <c r="A43" s="60"/>
      <c r="B43" s="945"/>
      <c r="C43" s="946"/>
      <c r="D43" s="946"/>
      <c r="E43" s="947"/>
      <c r="F43" s="107">
        <f>宿泊者名簿!P6</f>
        <v>0</v>
      </c>
      <c r="G43" s="79" t="s">
        <v>181</v>
      </c>
      <c r="H43" s="103">
        <f>宿泊者名簿!R6</f>
        <v>0</v>
      </c>
      <c r="I43" s="80" t="s">
        <v>182</v>
      </c>
      <c r="J43" s="142" t="s">
        <v>191</v>
      </c>
      <c r="K43" s="937">
        <f>COUNTIF(宿泊者名簿!$Z$22:$Z$421,2)</f>
        <v>0</v>
      </c>
      <c r="L43" s="937"/>
      <c r="M43" s="937"/>
      <c r="N43" s="82" t="s">
        <v>189</v>
      </c>
      <c r="O43" s="919"/>
      <c r="P43" s="920"/>
      <c r="Q43" s="920"/>
      <c r="R43" s="920"/>
      <c r="S43" s="926"/>
      <c r="T43" s="920"/>
      <c r="U43" s="920"/>
      <c r="V43" s="920"/>
      <c r="W43" s="920"/>
      <c r="X43" s="920"/>
      <c r="Y43" s="919"/>
      <c r="Z43" s="920"/>
      <c r="AA43" s="920"/>
      <c r="AB43" s="920"/>
      <c r="AC43" s="926"/>
      <c r="AD43" s="920"/>
      <c r="AE43" s="920"/>
      <c r="AF43" s="920"/>
      <c r="AG43" s="920"/>
      <c r="AH43" s="921"/>
      <c r="AI43" s="933"/>
      <c r="AJ43" s="933"/>
      <c r="AK43" s="933"/>
      <c r="AL43" s="933"/>
      <c r="AM43" s="934"/>
      <c r="AS43" s="72"/>
    </row>
    <row r="44" spans="1:46" ht="14.25" customHeight="1">
      <c r="A44" s="60"/>
      <c r="B44" s="948"/>
      <c r="C44" s="949"/>
      <c r="D44" s="949"/>
      <c r="E44" s="950"/>
      <c r="F44" s="100"/>
      <c r="G44" s="101"/>
      <c r="H44" s="101"/>
      <c r="I44" s="102"/>
      <c r="J44" s="100" t="s">
        <v>192</v>
      </c>
      <c r="K44" s="941">
        <f>SUM(K42:M43)</f>
        <v>0</v>
      </c>
      <c r="L44" s="941"/>
      <c r="M44" s="941"/>
      <c r="N44" s="84" t="s">
        <v>189</v>
      </c>
      <c r="O44" s="927"/>
      <c r="P44" s="928"/>
      <c r="Q44" s="928"/>
      <c r="R44" s="928"/>
      <c r="S44" s="929"/>
      <c r="T44" s="928"/>
      <c r="U44" s="928"/>
      <c r="V44" s="928"/>
      <c r="W44" s="928"/>
      <c r="X44" s="928"/>
      <c r="Y44" s="927"/>
      <c r="Z44" s="928"/>
      <c r="AA44" s="928"/>
      <c r="AB44" s="928"/>
      <c r="AC44" s="929"/>
      <c r="AD44" s="928"/>
      <c r="AE44" s="928"/>
      <c r="AF44" s="928"/>
      <c r="AG44" s="928"/>
      <c r="AH44" s="930"/>
      <c r="AI44" s="935"/>
      <c r="AJ44" s="935"/>
      <c r="AK44" s="935"/>
      <c r="AL44" s="935"/>
      <c r="AM44" s="936"/>
      <c r="AS44" s="85"/>
    </row>
    <row r="45" spans="1:46" ht="14.25" customHeight="1">
      <c r="A45" s="60"/>
      <c r="B45" s="942" t="s">
        <v>216</v>
      </c>
      <c r="C45" s="943"/>
      <c r="D45" s="943"/>
      <c r="E45" s="944"/>
      <c r="F45" s="955"/>
      <c r="G45" s="954"/>
      <c r="H45" s="954"/>
      <c r="I45" s="956"/>
      <c r="J45" s="97" t="s">
        <v>188</v>
      </c>
      <c r="K45" s="954">
        <f>COUNTIF(宿泊者名簿!$AA$22:$AA$421,1)</f>
        <v>0</v>
      </c>
      <c r="L45" s="954"/>
      <c r="M45" s="954"/>
      <c r="N45" s="77" t="s">
        <v>189</v>
      </c>
      <c r="O45" s="916">
        <f>COUNTIF(宿泊者名簿!$G$22:$G$421,2)+COUNTIF(宿泊者名簿!$G$22:$G$421,3)</f>
        <v>0</v>
      </c>
      <c r="P45" s="917"/>
      <c r="Q45" s="917"/>
      <c r="R45" s="917"/>
      <c r="S45" s="925"/>
      <c r="T45" s="917">
        <f>COUNTIF(宿泊者名簿!$G$22:$G$421,4)</f>
        <v>0</v>
      </c>
      <c r="U45" s="917"/>
      <c r="V45" s="917"/>
      <c r="W45" s="917"/>
      <c r="X45" s="917"/>
      <c r="Y45" s="916">
        <f>COUNTIF(宿泊者名簿!$G$22:$G$421,5)+COUNTIF(宿泊者名簿!$G$22:$G$421,6)+COUNTIF(宿泊者名簿!$G$22:$G$421,7)</f>
        <v>0</v>
      </c>
      <c r="Z45" s="917"/>
      <c r="AA45" s="917"/>
      <c r="AB45" s="917"/>
      <c r="AC45" s="925"/>
      <c r="AD45" s="917">
        <f>COUNTIF(宿泊者名簿!$G$22:$G$421,1)</f>
        <v>0</v>
      </c>
      <c r="AE45" s="917"/>
      <c r="AF45" s="917"/>
      <c r="AG45" s="917"/>
      <c r="AH45" s="918"/>
      <c r="AI45" s="931"/>
      <c r="AJ45" s="931"/>
      <c r="AK45" s="931"/>
      <c r="AL45" s="931"/>
      <c r="AM45" s="932"/>
      <c r="AS45" s="85"/>
    </row>
    <row r="46" spans="1:46" ht="14.25" customHeight="1">
      <c r="A46" s="60"/>
      <c r="B46" s="945"/>
      <c r="C46" s="946"/>
      <c r="D46" s="946"/>
      <c r="E46" s="947"/>
      <c r="F46" s="107" t="str">
        <f>宿泊者名簿!P7</f>
        <v/>
      </c>
      <c r="G46" s="79" t="s">
        <v>181</v>
      </c>
      <c r="H46" s="103" t="str">
        <f>宿泊者名簿!R7</f>
        <v/>
      </c>
      <c r="I46" s="80" t="s">
        <v>182</v>
      </c>
      <c r="J46" s="142" t="s">
        <v>191</v>
      </c>
      <c r="K46" s="937">
        <f>COUNTIF(宿泊者名簿!$AA$22:$AA$421,2)</f>
        <v>0</v>
      </c>
      <c r="L46" s="937"/>
      <c r="M46" s="937"/>
      <c r="N46" s="82" t="s">
        <v>189</v>
      </c>
      <c r="O46" s="919"/>
      <c r="P46" s="920"/>
      <c r="Q46" s="920"/>
      <c r="R46" s="920"/>
      <c r="S46" s="926"/>
      <c r="T46" s="920"/>
      <c r="U46" s="920"/>
      <c r="V46" s="920"/>
      <c r="W46" s="920"/>
      <c r="X46" s="920"/>
      <c r="Y46" s="919"/>
      <c r="Z46" s="920"/>
      <c r="AA46" s="920"/>
      <c r="AB46" s="920"/>
      <c r="AC46" s="926"/>
      <c r="AD46" s="920"/>
      <c r="AE46" s="920"/>
      <c r="AF46" s="920"/>
      <c r="AG46" s="920"/>
      <c r="AH46" s="921"/>
      <c r="AI46" s="933"/>
      <c r="AJ46" s="933"/>
      <c r="AK46" s="933"/>
      <c r="AL46" s="933"/>
      <c r="AM46" s="934"/>
      <c r="AS46" s="85"/>
    </row>
    <row r="47" spans="1:46" ht="14.25" customHeight="1">
      <c r="A47" s="60"/>
      <c r="B47" s="948"/>
      <c r="C47" s="949"/>
      <c r="D47" s="949"/>
      <c r="E47" s="950"/>
      <c r="F47" s="957"/>
      <c r="G47" s="941"/>
      <c r="H47" s="941"/>
      <c r="I47" s="958"/>
      <c r="J47" s="100" t="s">
        <v>192</v>
      </c>
      <c r="K47" s="941">
        <f>SUM(K45:M46)</f>
        <v>0</v>
      </c>
      <c r="L47" s="941"/>
      <c r="M47" s="941"/>
      <c r="N47" s="84" t="s">
        <v>189</v>
      </c>
      <c r="O47" s="927"/>
      <c r="P47" s="928"/>
      <c r="Q47" s="928"/>
      <c r="R47" s="928"/>
      <c r="S47" s="929"/>
      <c r="T47" s="928"/>
      <c r="U47" s="928"/>
      <c r="V47" s="928"/>
      <c r="W47" s="928"/>
      <c r="X47" s="928"/>
      <c r="Y47" s="927"/>
      <c r="Z47" s="928"/>
      <c r="AA47" s="928"/>
      <c r="AB47" s="928"/>
      <c r="AC47" s="929"/>
      <c r="AD47" s="928"/>
      <c r="AE47" s="928"/>
      <c r="AF47" s="928"/>
      <c r="AG47" s="928"/>
      <c r="AH47" s="930"/>
      <c r="AI47" s="935"/>
      <c r="AJ47" s="935"/>
      <c r="AK47" s="935"/>
      <c r="AL47" s="935"/>
      <c r="AM47" s="936"/>
      <c r="AS47" s="85"/>
    </row>
    <row r="48" spans="1:46" ht="14.25" customHeight="1">
      <c r="A48" s="60"/>
      <c r="B48" s="942" t="s">
        <v>216</v>
      </c>
      <c r="C48" s="943"/>
      <c r="D48" s="943"/>
      <c r="E48" s="944"/>
      <c r="F48" s="955"/>
      <c r="G48" s="954"/>
      <c r="H48" s="954"/>
      <c r="I48" s="956"/>
      <c r="J48" s="97" t="s">
        <v>188</v>
      </c>
      <c r="K48" s="954">
        <f>COUNTIF(宿泊者名簿!$AB$22:$AB$421,1)</f>
        <v>0</v>
      </c>
      <c r="L48" s="954"/>
      <c r="M48" s="954"/>
      <c r="N48" s="77" t="s">
        <v>189</v>
      </c>
      <c r="O48" s="916">
        <f>COUNTIF(宿泊者名簿!$H$22:$H$421,2)+COUNTIF(宿泊者名簿!$H$22:$H$421,3)</f>
        <v>0</v>
      </c>
      <c r="P48" s="917"/>
      <c r="Q48" s="917"/>
      <c r="R48" s="917"/>
      <c r="S48" s="925"/>
      <c r="T48" s="917">
        <f>COUNTIF(宿泊者名簿!$H$22:$H$421,4)</f>
        <v>0</v>
      </c>
      <c r="U48" s="917"/>
      <c r="V48" s="917"/>
      <c r="W48" s="917"/>
      <c r="X48" s="917"/>
      <c r="Y48" s="916">
        <f>COUNTIF(宿泊者名簿!$H$22:$H$421,5)+COUNTIF(宿泊者名簿!$H$22:$H$421,6)+COUNTIF(宿泊者名簿!$H$22:$H$421,7)</f>
        <v>0</v>
      </c>
      <c r="Z48" s="917"/>
      <c r="AA48" s="917"/>
      <c r="AB48" s="917"/>
      <c r="AC48" s="925"/>
      <c r="AD48" s="917">
        <f>COUNTIF(宿泊者名簿!$H$22:$H$421,1)</f>
        <v>0</v>
      </c>
      <c r="AE48" s="917"/>
      <c r="AF48" s="917"/>
      <c r="AG48" s="917"/>
      <c r="AH48" s="918"/>
      <c r="AI48" s="931"/>
      <c r="AJ48" s="931"/>
      <c r="AK48" s="931"/>
      <c r="AL48" s="931"/>
      <c r="AM48" s="932"/>
      <c r="AS48" s="85"/>
    </row>
    <row r="49" spans="1:39" ht="14.25" customHeight="1">
      <c r="A49" s="60"/>
      <c r="B49" s="945"/>
      <c r="C49" s="946"/>
      <c r="D49" s="946"/>
      <c r="E49" s="947"/>
      <c r="F49" s="106" t="str">
        <f>宿泊者名簿!P8</f>
        <v/>
      </c>
      <c r="G49" s="104" t="s">
        <v>181</v>
      </c>
      <c r="H49" s="108" t="str">
        <f>宿泊者名簿!R8</f>
        <v/>
      </c>
      <c r="I49" s="105" t="s">
        <v>182</v>
      </c>
      <c r="J49" s="142" t="s">
        <v>191</v>
      </c>
      <c r="K49" s="937">
        <f>COUNTIF(宿泊者名簿!$AB$22:$AB$421,2)</f>
        <v>0</v>
      </c>
      <c r="L49" s="937"/>
      <c r="M49" s="937"/>
      <c r="N49" s="82" t="s">
        <v>189</v>
      </c>
      <c r="O49" s="919"/>
      <c r="P49" s="920"/>
      <c r="Q49" s="920"/>
      <c r="R49" s="920"/>
      <c r="S49" s="926"/>
      <c r="T49" s="920"/>
      <c r="U49" s="920"/>
      <c r="V49" s="920"/>
      <c r="W49" s="920"/>
      <c r="X49" s="920"/>
      <c r="Y49" s="919"/>
      <c r="Z49" s="920"/>
      <c r="AA49" s="920"/>
      <c r="AB49" s="920"/>
      <c r="AC49" s="926"/>
      <c r="AD49" s="920"/>
      <c r="AE49" s="920"/>
      <c r="AF49" s="920"/>
      <c r="AG49" s="920"/>
      <c r="AH49" s="921"/>
      <c r="AI49" s="933"/>
      <c r="AJ49" s="933"/>
      <c r="AK49" s="933"/>
      <c r="AL49" s="933"/>
      <c r="AM49" s="934"/>
    </row>
    <row r="50" spans="1:39" ht="14.25" customHeight="1">
      <c r="A50" s="60"/>
      <c r="B50" s="948"/>
      <c r="C50" s="949"/>
      <c r="D50" s="949"/>
      <c r="E50" s="950"/>
      <c r="F50" s="938"/>
      <c r="G50" s="939"/>
      <c r="H50" s="939"/>
      <c r="I50" s="940"/>
      <c r="J50" s="100" t="s">
        <v>192</v>
      </c>
      <c r="K50" s="941">
        <f>SUM(K48:M49)</f>
        <v>0</v>
      </c>
      <c r="L50" s="941"/>
      <c r="M50" s="941"/>
      <c r="N50" s="84" t="s">
        <v>189</v>
      </c>
      <c r="O50" s="927"/>
      <c r="P50" s="928"/>
      <c r="Q50" s="928"/>
      <c r="R50" s="928"/>
      <c r="S50" s="929"/>
      <c r="T50" s="928"/>
      <c r="U50" s="928"/>
      <c r="V50" s="928"/>
      <c r="W50" s="928"/>
      <c r="X50" s="928"/>
      <c r="Y50" s="927"/>
      <c r="Z50" s="928"/>
      <c r="AA50" s="928"/>
      <c r="AB50" s="928"/>
      <c r="AC50" s="929"/>
      <c r="AD50" s="928"/>
      <c r="AE50" s="928"/>
      <c r="AF50" s="928"/>
      <c r="AG50" s="928"/>
      <c r="AH50" s="930"/>
      <c r="AI50" s="935"/>
      <c r="AJ50" s="935"/>
      <c r="AK50" s="935"/>
      <c r="AL50" s="935"/>
      <c r="AM50" s="936"/>
    </row>
    <row r="51" spans="1:39" ht="14.25" customHeight="1">
      <c r="A51" s="60"/>
      <c r="B51" s="942" t="s">
        <v>216</v>
      </c>
      <c r="C51" s="943"/>
      <c r="D51" s="943"/>
      <c r="E51" s="944"/>
      <c r="F51" s="951"/>
      <c r="G51" s="952"/>
      <c r="H51" s="952"/>
      <c r="I51" s="953"/>
      <c r="J51" s="97" t="s">
        <v>188</v>
      </c>
      <c r="K51" s="954">
        <f>COUNTIF(宿泊者名簿!$AC$22:$AC$421,1)</f>
        <v>0</v>
      </c>
      <c r="L51" s="954"/>
      <c r="M51" s="954"/>
      <c r="N51" s="77" t="s">
        <v>189</v>
      </c>
      <c r="O51" s="916">
        <f>COUNTIF(宿泊者名簿!$I$22:$I$421,2)+COUNTIF(宿泊者名簿!$I$22:$I$421,3)</f>
        <v>0</v>
      </c>
      <c r="P51" s="917"/>
      <c r="Q51" s="917"/>
      <c r="R51" s="917"/>
      <c r="S51" s="925"/>
      <c r="T51" s="917">
        <f>COUNTIF(宿泊者名簿!$I$22:$I$421,4)</f>
        <v>0</v>
      </c>
      <c r="U51" s="917"/>
      <c r="V51" s="917"/>
      <c r="W51" s="917"/>
      <c r="X51" s="917"/>
      <c r="Y51" s="916">
        <f>COUNTIF(宿泊者名簿!$I$22:$I$421,5)+COUNTIF(宿泊者名簿!$I$22:$I$421,6)+COUNTIF(宿泊者名簿!$I$22:$I$421,7)</f>
        <v>0</v>
      </c>
      <c r="Z51" s="917"/>
      <c r="AA51" s="917"/>
      <c r="AB51" s="917"/>
      <c r="AC51" s="925"/>
      <c r="AD51" s="917">
        <f>COUNTIF(宿泊者名簿!$I$22:$I$421,1)</f>
        <v>0</v>
      </c>
      <c r="AE51" s="917"/>
      <c r="AF51" s="917"/>
      <c r="AG51" s="917"/>
      <c r="AH51" s="918"/>
      <c r="AI51" s="931"/>
      <c r="AJ51" s="931"/>
      <c r="AK51" s="931"/>
      <c r="AL51" s="931"/>
      <c r="AM51" s="932"/>
    </row>
    <row r="52" spans="1:39" ht="14.25" customHeight="1">
      <c r="A52" s="60"/>
      <c r="B52" s="945"/>
      <c r="C52" s="946"/>
      <c r="D52" s="946"/>
      <c r="E52" s="947"/>
      <c r="F52" s="106" t="str">
        <f>宿泊者名簿!P9</f>
        <v/>
      </c>
      <c r="G52" s="104" t="s">
        <v>181</v>
      </c>
      <c r="H52" s="108" t="str">
        <f>宿泊者名簿!R9</f>
        <v/>
      </c>
      <c r="I52" s="105" t="s">
        <v>182</v>
      </c>
      <c r="J52" s="142" t="s">
        <v>191</v>
      </c>
      <c r="K52" s="937">
        <f>COUNTIF(宿泊者名簿!$AC$22:$AC$421,2)</f>
        <v>0</v>
      </c>
      <c r="L52" s="937"/>
      <c r="M52" s="937"/>
      <c r="N52" s="82" t="s">
        <v>189</v>
      </c>
      <c r="O52" s="919"/>
      <c r="P52" s="920"/>
      <c r="Q52" s="920"/>
      <c r="R52" s="920"/>
      <c r="S52" s="926"/>
      <c r="T52" s="920"/>
      <c r="U52" s="920"/>
      <c r="V52" s="920"/>
      <c r="W52" s="920"/>
      <c r="X52" s="920"/>
      <c r="Y52" s="919"/>
      <c r="Z52" s="920"/>
      <c r="AA52" s="920"/>
      <c r="AB52" s="920"/>
      <c r="AC52" s="926"/>
      <c r="AD52" s="920"/>
      <c r="AE52" s="920"/>
      <c r="AF52" s="920"/>
      <c r="AG52" s="920"/>
      <c r="AH52" s="921"/>
      <c r="AI52" s="933"/>
      <c r="AJ52" s="933"/>
      <c r="AK52" s="933"/>
      <c r="AL52" s="933"/>
      <c r="AM52" s="934"/>
    </row>
    <row r="53" spans="1:39" ht="14.25" customHeight="1">
      <c r="A53" s="60"/>
      <c r="B53" s="948"/>
      <c r="C53" s="949"/>
      <c r="D53" s="949"/>
      <c r="E53" s="950"/>
      <c r="F53" s="938"/>
      <c r="G53" s="939"/>
      <c r="H53" s="939"/>
      <c r="I53" s="940"/>
      <c r="J53" s="100" t="s">
        <v>192</v>
      </c>
      <c r="K53" s="941">
        <f>SUM(K51:M52)</f>
        <v>0</v>
      </c>
      <c r="L53" s="941"/>
      <c r="M53" s="941"/>
      <c r="N53" s="84" t="s">
        <v>189</v>
      </c>
      <c r="O53" s="927"/>
      <c r="P53" s="928"/>
      <c r="Q53" s="928"/>
      <c r="R53" s="928"/>
      <c r="S53" s="929"/>
      <c r="T53" s="928"/>
      <c r="U53" s="928"/>
      <c r="V53" s="928"/>
      <c r="W53" s="928"/>
      <c r="X53" s="928"/>
      <c r="Y53" s="927"/>
      <c r="Z53" s="928"/>
      <c r="AA53" s="928"/>
      <c r="AB53" s="928"/>
      <c r="AC53" s="929"/>
      <c r="AD53" s="928"/>
      <c r="AE53" s="928"/>
      <c r="AF53" s="928"/>
      <c r="AG53" s="928"/>
      <c r="AH53" s="930"/>
      <c r="AI53" s="935"/>
      <c r="AJ53" s="935"/>
      <c r="AK53" s="935"/>
      <c r="AL53" s="935"/>
      <c r="AM53" s="936"/>
    </row>
    <row r="54" spans="1:39" ht="12" customHeight="1">
      <c r="A54" s="60"/>
      <c r="B54" s="911" t="s">
        <v>205</v>
      </c>
      <c r="C54" s="912"/>
      <c r="D54" s="912"/>
      <c r="E54" s="912"/>
      <c r="F54" s="912"/>
      <c r="G54" s="912"/>
      <c r="H54" s="912"/>
      <c r="I54" s="912"/>
      <c r="J54" s="916" t="str">
        <f>宿泊者名簿!J12&amp;" "&amp;宿泊者名簿!L12&amp;" "&amp;宿泊者名簿!N12&amp;" "&amp;宿泊者名簿!P12&amp;" "&amp;宿泊者名簿!R12</f>
        <v xml:space="preserve">    </v>
      </c>
      <c r="K54" s="917"/>
      <c r="L54" s="917"/>
      <c r="M54" s="917"/>
      <c r="N54" s="917"/>
      <c r="O54" s="917"/>
      <c r="P54" s="917"/>
      <c r="Q54" s="917"/>
      <c r="R54" s="917"/>
      <c r="S54" s="917"/>
      <c r="T54" s="917"/>
      <c r="U54" s="917"/>
      <c r="V54" s="917"/>
      <c r="W54" s="917"/>
      <c r="X54" s="917"/>
      <c r="Y54" s="917"/>
      <c r="Z54" s="917"/>
      <c r="AA54" s="917"/>
      <c r="AB54" s="917"/>
      <c r="AC54" s="917"/>
      <c r="AD54" s="917"/>
      <c r="AE54" s="917"/>
      <c r="AF54" s="917"/>
      <c r="AG54" s="917"/>
      <c r="AH54" s="918"/>
      <c r="AI54" s="899" t="s">
        <v>206</v>
      </c>
      <c r="AJ54" s="899"/>
      <c r="AK54" s="899"/>
      <c r="AL54" s="899"/>
      <c r="AM54" s="900"/>
    </row>
    <row r="55" spans="1:39" ht="12" customHeight="1">
      <c r="A55" s="60"/>
      <c r="B55" s="913"/>
      <c r="C55" s="912"/>
      <c r="D55" s="912"/>
      <c r="E55" s="912"/>
      <c r="F55" s="912"/>
      <c r="G55" s="912"/>
      <c r="H55" s="912"/>
      <c r="I55" s="912"/>
      <c r="J55" s="919"/>
      <c r="K55" s="920"/>
      <c r="L55" s="920"/>
      <c r="M55" s="920"/>
      <c r="N55" s="920"/>
      <c r="O55" s="920"/>
      <c r="P55" s="920"/>
      <c r="Q55" s="920"/>
      <c r="R55" s="920"/>
      <c r="S55" s="920"/>
      <c r="T55" s="920"/>
      <c r="U55" s="920"/>
      <c r="V55" s="920"/>
      <c r="W55" s="920"/>
      <c r="X55" s="920"/>
      <c r="Y55" s="920"/>
      <c r="Z55" s="920"/>
      <c r="AA55" s="920"/>
      <c r="AB55" s="920"/>
      <c r="AC55" s="920"/>
      <c r="AD55" s="920"/>
      <c r="AE55" s="920"/>
      <c r="AF55" s="920"/>
      <c r="AG55" s="920"/>
      <c r="AH55" s="921"/>
      <c r="AI55" s="901"/>
      <c r="AJ55" s="901"/>
      <c r="AK55" s="901"/>
      <c r="AL55" s="901"/>
      <c r="AM55" s="902"/>
    </row>
    <row r="56" spans="1:39" ht="12" customHeight="1" thickBot="1">
      <c r="A56" s="60"/>
      <c r="B56" s="914"/>
      <c r="C56" s="915"/>
      <c r="D56" s="915"/>
      <c r="E56" s="915"/>
      <c r="F56" s="915"/>
      <c r="G56" s="915"/>
      <c r="H56" s="915"/>
      <c r="I56" s="915"/>
      <c r="J56" s="922"/>
      <c r="K56" s="923"/>
      <c r="L56" s="923"/>
      <c r="M56" s="923"/>
      <c r="N56" s="923"/>
      <c r="O56" s="923"/>
      <c r="P56" s="923"/>
      <c r="Q56" s="923"/>
      <c r="R56" s="923"/>
      <c r="S56" s="923"/>
      <c r="T56" s="923"/>
      <c r="U56" s="923"/>
      <c r="V56" s="923"/>
      <c r="W56" s="923"/>
      <c r="X56" s="923"/>
      <c r="Y56" s="923"/>
      <c r="Z56" s="923"/>
      <c r="AA56" s="923"/>
      <c r="AB56" s="923"/>
      <c r="AC56" s="923"/>
      <c r="AD56" s="923"/>
      <c r="AE56" s="923"/>
      <c r="AF56" s="923"/>
      <c r="AG56" s="923"/>
      <c r="AH56" s="924"/>
      <c r="AI56" s="903"/>
      <c r="AJ56" s="903"/>
      <c r="AK56" s="903"/>
      <c r="AL56" s="903"/>
      <c r="AM56" s="904"/>
    </row>
    <row r="57" spans="1:39" ht="30.75" customHeight="1">
      <c r="A57" s="60"/>
      <c r="B57" s="905" t="s">
        <v>207</v>
      </c>
      <c r="C57" s="906"/>
      <c r="D57" s="906"/>
      <c r="E57" s="906"/>
      <c r="F57" s="906"/>
      <c r="G57" s="906"/>
      <c r="H57" s="906"/>
      <c r="I57" s="907"/>
      <c r="J57" s="908"/>
      <c r="K57" s="908"/>
      <c r="L57" s="908"/>
      <c r="M57" s="908"/>
      <c r="N57" s="908"/>
      <c r="O57" s="908"/>
      <c r="P57" s="908"/>
      <c r="Q57" s="908"/>
      <c r="R57" s="908"/>
      <c r="S57" s="908"/>
      <c r="T57" s="908"/>
      <c r="U57" s="908"/>
      <c r="V57" s="908"/>
      <c r="W57" s="908"/>
      <c r="X57" s="908"/>
      <c r="Y57" s="908"/>
      <c r="Z57" s="908"/>
      <c r="AA57" s="908"/>
      <c r="AB57" s="908"/>
      <c r="AC57" s="908"/>
      <c r="AD57" s="908"/>
      <c r="AE57" s="908"/>
      <c r="AF57" s="908"/>
      <c r="AG57" s="908"/>
      <c r="AH57" s="908"/>
      <c r="AI57" s="908"/>
      <c r="AJ57" s="908"/>
      <c r="AK57" s="908"/>
      <c r="AL57" s="908"/>
      <c r="AM57" s="908"/>
    </row>
    <row r="58" spans="1:39" ht="7.5" customHeight="1">
      <c r="A58" s="60"/>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39">
      <c r="B59" s="909" t="s">
        <v>208</v>
      </c>
      <c r="C59" s="909"/>
      <c r="D59" s="909"/>
      <c r="E59" s="909"/>
      <c r="F59" s="909"/>
      <c r="G59" s="909"/>
      <c r="H59" s="909"/>
      <c r="I59" s="909"/>
      <c r="J59" s="909"/>
      <c r="K59" s="909"/>
      <c r="L59" s="909"/>
      <c r="M59" s="909"/>
      <c r="N59" s="909"/>
      <c r="O59" s="909"/>
      <c r="P59" s="909"/>
      <c r="Q59" s="909"/>
      <c r="R59" s="909"/>
      <c r="S59" s="909"/>
      <c r="T59" s="909"/>
      <c r="U59" s="909"/>
      <c r="V59" s="909"/>
      <c r="W59" s="909"/>
      <c r="X59" s="909"/>
      <c r="Y59" s="909"/>
      <c r="Z59" s="909"/>
      <c r="AA59" s="909"/>
      <c r="AB59" s="909"/>
      <c r="AC59" s="909"/>
      <c r="AD59" s="909"/>
      <c r="AE59" s="909"/>
      <c r="AF59" s="909"/>
      <c r="AG59" s="909"/>
      <c r="AH59" s="909"/>
      <c r="AI59" s="909"/>
      <c r="AJ59" s="909"/>
      <c r="AK59" s="909"/>
      <c r="AL59" s="909"/>
      <c r="AM59" s="909"/>
    </row>
    <row r="60" spans="1:39">
      <c r="B60" s="910" t="s">
        <v>209</v>
      </c>
      <c r="C60" s="910"/>
      <c r="D60" s="910"/>
      <c r="E60" s="910"/>
      <c r="F60" s="910"/>
      <c r="G60" s="910"/>
      <c r="H60" s="910"/>
      <c r="I60" s="910"/>
      <c r="J60" s="910"/>
      <c r="K60" s="910"/>
      <c r="L60" s="910"/>
      <c r="M60" s="910"/>
      <c r="N60" s="910"/>
      <c r="O60" s="910"/>
      <c r="P60" s="910"/>
      <c r="Q60" s="910"/>
      <c r="R60" s="910"/>
      <c r="S60" s="910"/>
      <c r="T60" s="910"/>
      <c r="U60" s="910"/>
      <c r="V60" s="910"/>
      <c r="W60" s="910"/>
      <c r="X60" s="910"/>
      <c r="Y60" s="910"/>
      <c r="Z60" s="910"/>
      <c r="AA60" s="910"/>
      <c r="AB60" s="910"/>
      <c r="AC60" s="910"/>
      <c r="AD60" s="910"/>
      <c r="AE60" s="910"/>
      <c r="AF60" s="910"/>
      <c r="AG60" s="910"/>
      <c r="AH60" s="910"/>
      <c r="AI60" s="910"/>
      <c r="AJ60" s="910"/>
      <c r="AK60" s="910"/>
      <c r="AL60" s="910"/>
      <c r="AM60" s="910"/>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Hdz6rJmDTrc3QlfT76IqKXUzKsktiEPAeTl4aNrC3/HDxcZLYfDxpKApdsiZBjD7p8VYmg0jckLiw487+OHfqg==" saltValue="Ui38Rw3Q7q6WsGxJPZScGA==" spinCount="100000" sheet="1" selectLockedCells="1" autoFilter="0"/>
  <mergeCells count="124">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 ref="AD29:AE30"/>
    <mergeCell ref="P29:Q30"/>
    <mergeCell ref="R29:S30"/>
    <mergeCell ref="T29:U30"/>
    <mergeCell ref="P31:Q32"/>
    <mergeCell ref="R31:S32"/>
    <mergeCell ref="T31:U32"/>
    <mergeCell ref="V31:W32"/>
    <mergeCell ref="V29:W30"/>
    <mergeCell ref="X29:Y30"/>
    <mergeCell ref="Z29:Z30"/>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B45:E47"/>
    <mergeCell ref="F45:I45"/>
    <mergeCell ref="K45:M45"/>
    <mergeCell ref="O45:S47"/>
    <mergeCell ref="T45:X47"/>
    <mergeCell ref="B42:E44"/>
    <mergeCell ref="K42:M42"/>
    <mergeCell ref="O42:S44"/>
    <mergeCell ref="T42:X44"/>
    <mergeCell ref="Y45:AC47"/>
    <mergeCell ref="AD45:AH47"/>
    <mergeCell ref="AI45:AM47"/>
    <mergeCell ref="K46:M46"/>
    <mergeCell ref="F47:I47"/>
    <mergeCell ref="K47:M47"/>
    <mergeCell ref="AD42:AH44"/>
    <mergeCell ref="AI42:AM44"/>
    <mergeCell ref="K43:M43"/>
    <mergeCell ref="K44:M44"/>
    <mergeCell ref="Y42:AC44"/>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s>
  <phoneticPr fontId="1"/>
  <conditionalFormatting sqref="F46">
    <cfRule type="expression" dxfId="23" priority="8" stopIfTrue="1">
      <formula>AND(#REF!="",#REF!="")</formula>
    </cfRule>
  </conditionalFormatting>
  <conditionalFormatting sqref="F49">
    <cfRule type="expression" dxfId="22" priority="6">
      <formula>AND(#REF!="",#REF!="")</formula>
    </cfRule>
  </conditionalFormatting>
  <conditionalFormatting sqref="F52">
    <cfRule type="expression" dxfId="21" priority="4">
      <formula>AND(#REF!="",#REF!="")</formula>
    </cfRule>
  </conditionalFormatting>
  <conditionalFormatting sqref="H46">
    <cfRule type="expression" dxfId="20" priority="7">
      <formula>AND(#REF!="",#REF!="")</formula>
    </cfRule>
  </conditionalFormatting>
  <conditionalFormatting sqref="H49">
    <cfRule type="expression" dxfId="19" priority="5">
      <formula>AND(#REF!="",#REF!="")</formula>
    </cfRule>
  </conditionalFormatting>
  <conditionalFormatting sqref="H52">
    <cfRule type="expression" dxfId="1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zoomScale="115" zoomScaleNormal="115" zoomScaleSheetLayoutView="115" zoomScalePageLayoutView="70" workbookViewId="0">
      <selection activeCell="AA31" sqref="AA31:AA32"/>
    </sheetView>
  </sheetViews>
  <sheetFormatPr defaultColWidth="2.25" defaultRowHeight="13.5"/>
  <cols>
    <col min="1" max="5" width="2.25" style="61" customWidth="1"/>
    <col min="6" max="6" width="2.75" style="61" customWidth="1"/>
    <col min="7" max="7" width="2.25" style="61" customWidth="1"/>
    <col min="8" max="8" width="2.75" style="61" customWidth="1"/>
    <col min="9" max="14" width="2.25" style="61" customWidth="1"/>
    <col min="15" max="15" width="1.75" style="61" customWidth="1"/>
    <col min="16" max="23" width="2.25" style="61"/>
    <col min="24" max="24" width="2.25" style="61" customWidth="1"/>
    <col min="25" max="37" width="2.25" style="61"/>
    <col min="38" max="39" width="2.25" style="61" customWidth="1"/>
    <col min="40" max="242" width="2.25" style="61"/>
    <col min="243" max="243" width="2.75" style="61" customWidth="1"/>
    <col min="244" max="244" width="2.25" style="61"/>
    <col min="245" max="245" width="2.75" style="61" customWidth="1"/>
    <col min="246" max="251" width="2.25" style="61"/>
    <col min="252" max="252" width="1.75" style="61" customWidth="1"/>
    <col min="253" max="498" width="2.25" style="61"/>
    <col min="499" max="499" width="2.75" style="61" customWidth="1"/>
    <col min="500" max="500" width="2.25" style="61"/>
    <col min="501" max="501" width="2.75" style="61" customWidth="1"/>
    <col min="502" max="507" width="2.25" style="61"/>
    <col min="508" max="508" width="1.75" style="61" customWidth="1"/>
    <col min="509" max="754" width="2.25" style="61"/>
    <col min="755" max="755" width="2.75" style="61" customWidth="1"/>
    <col min="756" max="756" width="2.25" style="61"/>
    <col min="757" max="757" width="2.75" style="61" customWidth="1"/>
    <col min="758" max="763" width="2.25" style="61"/>
    <col min="764" max="764" width="1.75" style="61" customWidth="1"/>
    <col min="765" max="1010" width="2.25" style="61"/>
    <col min="1011" max="1011" width="2.75" style="61" customWidth="1"/>
    <col min="1012" max="1012" width="2.25" style="61"/>
    <col min="1013" max="1013" width="2.75" style="61" customWidth="1"/>
    <col min="1014" max="1019" width="2.25" style="61"/>
    <col min="1020" max="1020" width="1.75" style="61" customWidth="1"/>
    <col min="1021" max="1266" width="2.25" style="61"/>
    <col min="1267" max="1267" width="2.75" style="61" customWidth="1"/>
    <col min="1268" max="1268" width="2.25" style="61"/>
    <col min="1269" max="1269" width="2.75" style="61" customWidth="1"/>
    <col min="1270" max="1275" width="2.25" style="61"/>
    <col min="1276" max="1276" width="1.75" style="61" customWidth="1"/>
    <col min="1277" max="1522" width="2.25" style="61"/>
    <col min="1523" max="1523" width="2.75" style="61" customWidth="1"/>
    <col min="1524" max="1524" width="2.25" style="61"/>
    <col min="1525" max="1525" width="2.75" style="61" customWidth="1"/>
    <col min="1526" max="1531" width="2.25" style="61"/>
    <col min="1532" max="1532" width="1.75" style="61" customWidth="1"/>
    <col min="1533" max="1778" width="2.25" style="61"/>
    <col min="1779" max="1779" width="2.75" style="61" customWidth="1"/>
    <col min="1780" max="1780" width="2.25" style="61"/>
    <col min="1781" max="1781" width="2.75" style="61" customWidth="1"/>
    <col min="1782" max="1787" width="2.25" style="61"/>
    <col min="1788" max="1788" width="1.75" style="61" customWidth="1"/>
    <col min="1789" max="2034" width="2.25" style="61"/>
    <col min="2035" max="2035" width="2.75" style="61" customWidth="1"/>
    <col min="2036" max="2036" width="2.25" style="61"/>
    <col min="2037" max="2037" width="2.75" style="61" customWidth="1"/>
    <col min="2038" max="2043" width="2.25" style="61"/>
    <col min="2044" max="2044" width="1.75" style="61" customWidth="1"/>
    <col min="2045" max="2290" width="2.25" style="61"/>
    <col min="2291" max="2291" width="2.75" style="61" customWidth="1"/>
    <col min="2292" max="2292" width="2.25" style="61"/>
    <col min="2293" max="2293" width="2.75" style="61" customWidth="1"/>
    <col min="2294" max="2299" width="2.25" style="61"/>
    <col min="2300" max="2300" width="1.75" style="61" customWidth="1"/>
    <col min="2301" max="2546" width="2.25" style="61"/>
    <col min="2547" max="2547" width="2.75" style="61" customWidth="1"/>
    <col min="2548" max="2548" width="2.25" style="61"/>
    <col min="2549" max="2549" width="2.75" style="61" customWidth="1"/>
    <col min="2550" max="2555" width="2.25" style="61"/>
    <col min="2556" max="2556" width="1.75" style="61" customWidth="1"/>
    <col min="2557" max="2802" width="2.25" style="61"/>
    <col min="2803" max="2803" width="2.75" style="61" customWidth="1"/>
    <col min="2804" max="2804" width="2.25" style="61"/>
    <col min="2805" max="2805" width="2.75" style="61" customWidth="1"/>
    <col min="2806" max="2811" width="2.25" style="61"/>
    <col min="2812" max="2812" width="1.75" style="61" customWidth="1"/>
    <col min="2813" max="3058" width="2.25" style="61"/>
    <col min="3059" max="3059" width="2.75" style="61" customWidth="1"/>
    <col min="3060" max="3060" width="2.25" style="61"/>
    <col min="3061" max="3061" width="2.75" style="61" customWidth="1"/>
    <col min="3062" max="3067" width="2.25" style="61"/>
    <col min="3068" max="3068" width="1.75" style="61" customWidth="1"/>
    <col min="3069" max="3314" width="2.25" style="61"/>
    <col min="3315" max="3315" width="2.75" style="61" customWidth="1"/>
    <col min="3316" max="3316" width="2.25" style="61"/>
    <col min="3317" max="3317" width="2.75" style="61" customWidth="1"/>
    <col min="3318" max="3323" width="2.25" style="61"/>
    <col min="3324" max="3324" width="1.75" style="61" customWidth="1"/>
    <col min="3325" max="3570" width="2.25" style="61"/>
    <col min="3571" max="3571" width="2.75" style="61" customWidth="1"/>
    <col min="3572" max="3572" width="2.25" style="61"/>
    <col min="3573" max="3573" width="2.75" style="61" customWidth="1"/>
    <col min="3574" max="3579" width="2.25" style="61"/>
    <col min="3580" max="3580" width="1.75" style="61" customWidth="1"/>
    <col min="3581" max="3826" width="2.25" style="61"/>
    <col min="3827" max="3827" width="2.75" style="61" customWidth="1"/>
    <col min="3828" max="3828" width="2.25" style="61"/>
    <col min="3829" max="3829" width="2.75" style="61" customWidth="1"/>
    <col min="3830" max="3835" width="2.25" style="61"/>
    <col min="3836" max="3836" width="1.75" style="61" customWidth="1"/>
    <col min="3837" max="4082" width="2.25" style="61"/>
    <col min="4083" max="4083" width="2.75" style="61" customWidth="1"/>
    <col min="4084" max="4084" width="2.25" style="61"/>
    <col min="4085" max="4085" width="2.75" style="61" customWidth="1"/>
    <col min="4086" max="4091" width="2.25" style="61"/>
    <col min="4092" max="4092" width="1.75" style="61" customWidth="1"/>
    <col min="4093" max="4338" width="2.25" style="61"/>
    <col min="4339" max="4339" width="2.75" style="61" customWidth="1"/>
    <col min="4340" max="4340" width="2.25" style="61"/>
    <col min="4341" max="4341" width="2.75" style="61" customWidth="1"/>
    <col min="4342" max="4347" width="2.25" style="61"/>
    <col min="4348" max="4348" width="1.75" style="61" customWidth="1"/>
    <col min="4349" max="4594" width="2.25" style="61"/>
    <col min="4595" max="4595" width="2.75" style="61" customWidth="1"/>
    <col min="4596" max="4596" width="2.25" style="61"/>
    <col min="4597" max="4597" width="2.75" style="61" customWidth="1"/>
    <col min="4598" max="4603" width="2.25" style="61"/>
    <col min="4604" max="4604" width="1.75" style="61" customWidth="1"/>
    <col min="4605" max="4850" width="2.25" style="61"/>
    <col min="4851" max="4851" width="2.75" style="61" customWidth="1"/>
    <col min="4852" max="4852" width="2.25" style="61"/>
    <col min="4853" max="4853" width="2.75" style="61" customWidth="1"/>
    <col min="4854" max="4859" width="2.25" style="61"/>
    <col min="4860" max="4860" width="1.75" style="61" customWidth="1"/>
    <col min="4861" max="5106" width="2.25" style="61"/>
    <col min="5107" max="5107" width="2.75" style="61" customWidth="1"/>
    <col min="5108" max="5108" width="2.25" style="61"/>
    <col min="5109" max="5109" width="2.75" style="61" customWidth="1"/>
    <col min="5110" max="5115" width="2.25" style="61"/>
    <col min="5116" max="5116" width="1.75" style="61" customWidth="1"/>
    <col min="5117" max="5362" width="2.25" style="61"/>
    <col min="5363" max="5363" width="2.75" style="61" customWidth="1"/>
    <col min="5364" max="5364" width="2.25" style="61"/>
    <col min="5365" max="5365" width="2.75" style="61" customWidth="1"/>
    <col min="5366" max="5371" width="2.25" style="61"/>
    <col min="5372" max="5372" width="1.75" style="61" customWidth="1"/>
    <col min="5373" max="5618" width="2.25" style="61"/>
    <col min="5619" max="5619" width="2.75" style="61" customWidth="1"/>
    <col min="5620" max="5620" width="2.25" style="61"/>
    <col min="5621" max="5621" width="2.75" style="61" customWidth="1"/>
    <col min="5622" max="5627" width="2.25" style="61"/>
    <col min="5628" max="5628" width="1.75" style="61" customWidth="1"/>
    <col min="5629" max="5874" width="2.25" style="61"/>
    <col min="5875" max="5875" width="2.75" style="61" customWidth="1"/>
    <col min="5876" max="5876" width="2.25" style="61"/>
    <col min="5877" max="5877" width="2.75" style="61" customWidth="1"/>
    <col min="5878" max="5883" width="2.25" style="61"/>
    <col min="5884" max="5884" width="1.75" style="61" customWidth="1"/>
    <col min="5885" max="6130" width="2.25" style="61"/>
    <col min="6131" max="6131" width="2.75" style="61" customWidth="1"/>
    <col min="6132" max="6132" width="2.25" style="61"/>
    <col min="6133" max="6133" width="2.75" style="61" customWidth="1"/>
    <col min="6134" max="6139" width="2.25" style="61"/>
    <col min="6140" max="6140" width="1.75" style="61" customWidth="1"/>
    <col min="6141" max="6386" width="2.25" style="61"/>
    <col min="6387" max="6387" width="2.75" style="61" customWidth="1"/>
    <col min="6388" max="6388" width="2.25" style="61"/>
    <col min="6389" max="6389" width="2.75" style="61" customWidth="1"/>
    <col min="6390" max="6395" width="2.25" style="61"/>
    <col min="6396" max="6396" width="1.75" style="61" customWidth="1"/>
    <col min="6397" max="6642" width="2.25" style="61"/>
    <col min="6643" max="6643" width="2.75" style="61" customWidth="1"/>
    <col min="6644" max="6644" width="2.25" style="61"/>
    <col min="6645" max="6645" width="2.75" style="61" customWidth="1"/>
    <col min="6646" max="6651" width="2.25" style="61"/>
    <col min="6652" max="6652" width="1.75" style="61" customWidth="1"/>
    <col min="6653" max="6898" width="2.25" style="61"/>
    <col min="6899" max="6899" width="2.75" style="61" customWidth="1"/>
    <col min="6900" max="6900" width="2.25" style="61"/>
    <col min="6901" max="6901" width="2.75" style="61" customWidth="1"/>
    <col min="6902" max="6907" width="2.25" style="61"/>
    <col min="6908" max="6908" width="1.75" style="61" customWidth="1"/>
    <col min="6909" max="7154" width="2.25" style="61"/>
    <col min="7155" max="7155" width="2.75" style="61" customWidth="1"/>
    <col min="7156" max="7156" width="2.25" style="61"/>
    <col min="7157" max="7157" width="2.75" style="61" customWidth="1"/>
    <col min="7158" max="7163" width="2.25" style="61"/>
    <col min="7164" max="7164" width="1.75" style="61" customWidth="1"/>
    <col min="7165" max="7410" width="2.25" style="61"/>
    <col min="7411" max="7411" width="2.75" style="61" customWidth="1"/>
    <col min="7412" max="7412" width="2.25" style="61"/>
    <col min="7413" max="7413" width="2.75" style="61" customWidth="1"/>
    <col min="7414" max="7419" width="2.25" style="61"/>
    <col min="7420" max="7420" width="1.75" style="61" customWidth="1"/>
    <col min="7421" max="7666" width="2.25" style="61"/>
    <col min="7667" max="7667" width="2.75" style="61" customWidth="1"/>
    <col min="7668" max="7668" width="2.25" style="61"/>
    <col min="7669" max="7669" width="2.75" style="61" customWidth="1"/>
    <col min="7670" max="7675" width="2.25" style="61"/>
    <col min="7676" max="7676" width="1.75" style="61" customWidth="1"/>
    <col min="7677" max="7922" width="2.25" style="61"/>
    <col min="7923" max="7923" width="2.75" style="61" customWidth="1"/>
    <col min="7924" max="7924" width="2.25" style="61"/>
    <col min="7925" max="7925" width="2.75" style="61" customWidth="1"/>
    <col min="7926" max="7931" width="2.25" style="61"/>
    <col min="7932" max="7932" width="1.75" style="61" customWidth="1"/>
    <col min="7933" max="8178" width="2.25" style="61"/>
    <col min="8179" max="8179" width="2.75" style="61" customWidth="1"/>
    <col min="8180" max="8180" width="2.25" style="61"/>
    <col min="8181" max="8181" width="2.75" style="61" customWidth="1"/>
    <col min="8182" max="8187" width="2.25" style="61"/>
    <col min="8188" max="8188" width="1.75" style="61" customWidth="1"/>
    <col min="8189" max="8434" width="2.25" style="61"/>
    <col min="8435" max="8435" width="2.75" style="61" customWidth="1"/>
    <col min="8436" max="8436" width="2.25" style="61"/>
    <col min="8437" max="8437" width="2.75" style="61" customWidth="1"/>
    <col min="8438" max="8443" width="2.25" style="61"/>
    <col min="8444" max="8444" width="1.75" style="61" customWidth="1"/>
    <col min="8445" max="8690" width="2.25" style="61"/>
    <col min="8691" max="8691" width="2.75" style="61" customWidth="1"/>
    <col min="8692" max="8692" width="2.25" style="61"/>
    <col min="8693" max="8693" width="2.75" style="61" customWidth="1"/>
    <col min="8694" max="8699" width="2.25" style="61"/>
    <col min="8700" max="8700" width="1.75" style="61" customWidth="1"/>
    <col min="8701" max="8946" width="2.25" style="61"/>
    <col min="8947" max="8947" width="2.75" style="61" customWidth="1"/>
    <col min="8948" max="8948" width="2.25" style="61"/>
    <col min="8949" max="8949" width="2.75" style="61" customWidth="1"/>
    <col min="8950" max="8955" width="2.25" style="61"/>
    <col min="8956" max="8956" width="1.75" style="61" customWidth="1"/>
    <col min="8957" max="9202" width="2.25" style="61"/>
    <col min="9203" max="9203" width="2.75" style="61" customWidth="1"/>
    <col min="9204" max="9204" width="2.25" style="61"/>
    <col min="9205" max="9205" width="2.75" style="61" customWidth="1"/>
    <col min="9206" max="9211" width="2.25" style="61"/>
    <col min="9212" max="9212" width="1.75" style="61" customWidth="1"/>
    <col min="9213" max="9458" width="2.25" style="61"/>
    <col min="9459" max="9459" width="2.75" style="61" customWidth="1"/>
    <col min="9460" max="9460" width="2.25" style="61"/>
    <col min="9461" max="9461" width="2.75" style="61" customWidth="1"/>
    <col min="9462" max="9467" width="2.25" style="61"/>
    <col min="9468" max="9468" width="1.75" style="61" customWidth="1"/>
    <col min="9469" max="9714" width="2.25" style="61"/>
    <col min="9715" max="9715" width="2.75" style="61" customWidth="1"/>
    <col min="9716" max="9716" width="2.25" style="61"/>
    <col min="9717" max="9717" width="2.75" style="61" customWidth="1"/>
    <col min="9718" max="9723" width="2.25" style="61"/>
    <col min="9724" max="9724" width="1.75" style="61" customWidth="1"/>
    <col min="9725" max="9970" width="2.25" style="61"/>
    <col min="9971" max="9971" width="2.75" style="61" customWidth="1"/>
    <col min="9972" max="9972" width="2.25" style="61"/>
    <col min="9973" max="9973" width="2.75" style="61" customWidth="1"/>
    <col min="9974" max="9979" width="2.25" style="61"/>
    <col min="9980" max="9980" width="1.75" style="61" customWidth="1"/>
    <col min="9981" max="10226" width="2.25" style="61"/>
    <col min="10227" max="10227" width="2.75" style="61" customWidth="1"/>
    <col min="10228" max="10228" width="2.25" style="61"/>
    <col min="10229" max="10229" width="2.75" style="61" customWidth="1"/>
    <col min="10230" max="10235" width="2.25" style="61"/>
    <col min="10236" max="10236" width="1.75" style="61" customWidth="1"/>
    <col min="10237" max="10482" width="2.25" style="61"/>
    <col min="10483" max="10483" width="2.75" style="61" customWidth="1"/>
    <col min="10484" max="10484" width="2.25" style="61"/>
    <col min="10485" max="10485" width="2.75" style="61" customWidth="1"/>
    <col min="10486" max="10491" width="2.25" style="61"/>
    <col min="10492" max="10492" width="1.75" style="61" customWidth="1"/>
    <col min="10493" max="10738" width="2.25" style="61"/>
    <col min="10739" max="10739" width="2.75" style="61" customWidth="1"/>
    <col min="10740" max="10740" width="2.25" style="61"/>
    <col min="10741" max="10741" width="2.75" style="61" customWidth="1"/>
    <col min="10742" max="10747" width="2.25" style="61"/>
    <col min="10748" max="10748" width="1.75" style="61" customWidth="1"/>
    <col min="10749" max="10994" width="2.25" style="61"/>
    <col min="10995" max="10995" width="2.75" style="61" customWidth="1"/>
    <col min="10996" max="10996" width="2.25" style="61"/>
    <col min="10997" max="10997" width="2.75" style="61" customWidth="1"/>
    <col min="10998" max="11003" width="2.25" style="61"/>
    <col min="11004" max="11004" width="1.75" style="61" customWidth="1"/>
    <col min="11005" max="11250" width="2.25" style="61"/>
    <col min="11251" max="11251" width="2.75" style="61" customWidth="1"/>
    <col min="11252" max="11252" width="2.25" style="61"/>
    <col min="11253" max="11253" width="2.75" style="61" customWidth="1"/>
    <col min="11254" max="11259" width="2.25" style="61"/>
    <col min="11260" max="11260" width="1.75" style="61" customWidth="1"/>
    <col min="11261" max="11506" width="2.25" style="61"/>
    <col min="11507" max="11507" width="2.75" style="61" customWidth="1"/>
    <col min="11508" max="11508" width="2.25" style="61"/>
    <col min="11509" max="11509" width="2.75" style="61" customWidth="1"/>
    <col min="11510" max="11515" width="2.25" style="61"/>
    <col min="11516" max="11516" width="1.75" style="61" customWidth="1"/>
    <col min="11517" max="11762" width="2.25" style="61"/>
    <col min="11763" max="11763" width="2.75" style="61" customWidth="1"/>
    <col min="11764" max="11764" width="2.25" style="61"/>
    <col min="11765" max="11765" width="2.75" style="61" customWidth="1"/>
    <col min="11766" max="11771" width="2.25" style="61"/>
    <col min="11772" max="11772" width="1.75" style="61" customWidth="1"/>
    <col min="11773" max="12018" width="2.25" style="61"/>
    <col min="12019" max="12019" width="2.75" style="61" customWidth="1"/>
    <col min="12020" max="12020" width="2.25" style="61"/>
    <col min="12021" max="12021" width="2.75" style="61" customWidth="1"/>
    <col min="12022" max="12027" width="2.25" style="61"/>
    <col min="12028" max="12028" width="1.75" style="61" customWidth="1"/>
    <col min="12029" max="12274" width="2.25" style="61"/>
    <col min="12275" max="12275" width="2.75" style="61" customWidth="1"/>
    <col min="12276" max="12276" width="2.25" style="61"/>
    <col min="12277" max="12277" width="2.75" style="61" customWidth="1"/>
    <col min="12278" max="12283" width="2.25" style="61"/>
    <col min="12284" max="12284" width="1.75" style="61" customWidth="1"/>
    <col min="12285" max="12530" width="2.25" style="61"/>
    <col min="12531" max="12531" width="2.75" style="61" customWidth="1"/>
    <col min="12532" max="12532" width="2.25" style="61"/>
    <col min="12533" max="12533" width="2.75" style="61" customWidth="1"/>
    <col min="12534" max="12539" width="2.25" style="61"/>
    <col min="12540" max="12540" width="1.75" style="61" customWidth="1"/>
    <col min="12541" max="12786" width="2.25" style="61"/>
    <col min="12787" max="12787" width="2.75" style="61" customWidth="1"/>
    <col min="12788" max="12788" width="2.25" style="61"/>
    <col min="12789" max="12789" width="2.75" style="61" customWidth="1"/>
    <col min="12790" max="12795" width="2.25" style="61"/>
    <col min="12796" max="12796" width="1.75" style="61" customWidth="1"/>
    <col min="12797" max="13042" width="2.25" style="61"/>
    <col min="13043" max="13043" width="2.75" style="61" customWidth="1"/>
    <col min="13044" max="13044" width="2.25" style="61"/>
    <col min="13045" max="13045" width="2.75" style="61" customWidth="1"/>
    <col min="13046" max="13051" width="2.25" style="61"/>
    <col min="13052" max="13052" width="1.75" style="61" customWidth="1"/>
    <col min="13053" max="13298" width="2.25" style="61"/>
    <col min="13299" max="13299" width="2.75" style="61" customWidth="1"/>
    <col min="13300" max="13300" width="2.25" style="61"/>
    <col min="13301" max="13301" width="2.75" style="61" customWidth="1"/>
    <col min="13302" max="13307" width="2.25" style="61"/>
    <col min="13308" max="13308" width="1.75" style="61" customWidth="1"/>
    <col min="13309" max="13554" width="2.25" style="61"/>
    <col min="13555" max="13555" width="2.75" style="61" customWidth="1"/>
    <col min="13556" max="13556" width="2.25" style="61"/>
    <col min="13557" max="13557" width="2.75" style="61" customWidth="1"/>
    <col min="13558" max="13563" width="2.25" style="61"/>
    <col min="13564" max="13564" width="1.75" style="61" customWidth="1"/>
    <col min="13565" max="13810" width="2.25" style="61"/>
    <col min="13811" max="13811" width="2.75" style="61" customWidth="1"/>
    <col min="13812" max="13812" width="2.25" style="61"/>
    <col min="13813" max="13813" width="2.75" style="61" customWidth="1"/>
    <col min="13814" max="13819" width="2.25" style="61"/>
    <col min="13820" max="13820" width="1.75" style="61" customWidth="1"/>
    <col min="13821" max="14066" width="2.25" style="61"/>
    <col min="14067" max="14067" width="2.75" style="61" customWidth="1"/>
    <col min="14068" max="14068" width="2.25" style="61"/>
    <col min="14069" max="14069" width="2.75" style="61" customWidth="1"/>
    <col min="14070" max="14075" width="2.25" style="61"/>
    <col min="14076" max="14076" width="1.75" style="61" customWidth="1"/>
    <col min="14077" max="14322" width="2.25" style="61"/>
    <col min="14323" max="14323" width="2.75" style="61" customWidth="1"/>
    <col min="14324" max="14324" width="2.25" style="61"/>
    <col min="14325" max="14325" width="2.75" style="61" customWidth="1"/>
    <col min="14326" max="14331" width="2.25" style="61"/>
    <col min="14332" max="14332" width="1.75" style="61" customWidth="1"/>
    <col min="14333" max="14578" width="2.25" style="61"/>
    <col min="14579" max="14579" width="2.75" style="61" customWidth="1"/>
    <col min="14580" max="14580" width="2.25" style="61"/>
    <col min="14581" max="14581" width="2.75" style="61" customWidth="1"/>
    <col min="14582" max="14587" width="2.25" style="61"/>
    <col min="14588" max="14588" width="1.75" style="61" customWidth="1"/>
    <col min="14589" max="14834" width="2.25" style="61"/>
    <col min="14835" max="14835" width="2.75" style="61" customWidth="1"/>
    <col min="14836" max="14836" width="2.25" style="61"/>
    <col min="14837" max="14837" width="2.75" style="61" customWidth="1"/>
    <col min="14838" max="14843" width="2.25" style="61"/>
    <col min="14844" max="14844" width="1.75" style="61" customWidth="1"/>
    <col min="14845" max="15090" width="2.25" style="61"/>
    <col min="15091" max="15091" width="2.75" style="61" customWidth="1"/>
    <col min="15092" max="15092" width="2.25" style="61"/>
    <col min="15093" max="15093" width="2.75" style="61" customWidth="1"/>
    <col min="15094" max="15099" width="2.25" style="61"/>
    <col min="15100" max="15100" width="1.75" style="61" customWidth="1"/>
    <col min="15101" max="15346" width="2.25" style="61"/>
    <col min="15347" max="15347" width="2.75" style="61" customWidth="1"/>
    <col min="15348" max="15348" width="2.25" style="61"/>
    <col min="15349" max="15349" width="2.75" style="61" customWidth="1"/>
    <col min="15350" max="15355" width="2.25" style="61"/>
    <col min="15356" max="15356" width="1.75" style="61" customWidth="1"/>
    <col min="15357" max="15602" width="2.25" style="61"/>
    <col min="15603" max="15603" width="2.75" style="61" customWidth="1"/>
    <col min="15604" max="15604" width="2.25" style="61"/>
    <col min="15605" max="15605" width="2.75" style="61" customWidth="1"/>
    <col min="15606" max="15611" width="2.25" style="61"/>
    <col min="15612" max="15612" width="1.75" style="61" customWidth="1"/>
    <col min="15613" max="15858" width="2.25" style="61"/>
    <col min="15859" max="15859" width="2.75" style="61" customWidth="1"/>
    <col min="15860" max="15860" width="2.25" style="61"/>
    <col min="15861" max="15861" width="2.75" style="61" customWidth="1"/>
    <col min="15862" max="15867" width="2.25" style="61"/>
    <col min="15868" max="15868" width="1.75" style="61" customWidth="1"/>
    <col min="15869" max="16114" width="2.25" style="61"/>
    <col min="16115" max="16115" width="2.75" style="61" customWidth="1"/>
    <col min="16116" max="16116" width="2.25" style="61"/>
    <col min="16117" max="16117" width="2.75" style="61" customWidth="1"/>
    <col min="16118" max="16123" width="2.25" style="61"/>
    <col min="16124" max="16124" width="1.75" style="61" customWidth="1"/>
    <col min="16125" max="16384" width="2.25" style="61"/>
  </cols>
  <sheetData>
    <row r="1" spans="1:39" ht="24.75" thickBot="1">
      <c r="A1" s="60"/>
      <c r="B1" s="1059"/>
      <c r="C1" s="1059"/>
      <c r="D1" s="1059"/>
      <c r="E1" s="1059"/>
      <c r="F1" s="1059"/>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1042"/>
      <c r="AL1" s="1042"/>
      <c r="AM1" s="1042"/>
    </row>
    <row r="2" spans="1:39" ht="14.25">
      <c r="A2" s="67"/>
      <c r="B2" s="63"/>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5"/>
    </row>
    <row r="3" spans="1:39" ht="14.45" customHeight="1">
      <c r="A3" s="67"/>
      <c r="B3" s="1037" t="s">
        <v>210</v>
      </c>
      <c r="C3" s="1038"/>
      <c r="D3" s="1038"/>
      <c r="E3" s="1038"/>
      <c r="F3" s="1038"/>
      <c r="G3" s="1038"/>
      <c r="H3" s="1038"/>
      <c r="I3" s="1038"/>
      <c r="J3" s="1038"/>
      <c r="K3" s="1038"/>
      <c r="L3" s="1038"/>
      <c r="M3" s="1038"/>
      <c r="N3" s="1038"/>
      <c r="O3" s="1038"/>
      <c r="P3" s="1038"/>
      <c r="Q3" s="1038"/>
      <c r="R3" s="1038"/>
      <c r="S3" s="1038"/>
      <c r="T3" s="1038"/>
      <c r="U3" s="1038"/>
      <c r="V3" s="1038"/>
      <c r="W3" s="1038"/>
      <c r="X3" s="1038"/>
      <c r="Y3" s="1038"/>
      <c r="Z3" s="1038"/>
      <c r="AA3" s="1038"/>
      <c r="AB3" s="1038"/>
      <c r="AC3" s="1038"/>
      <c r="AD3" s="1038"/>
      <c r="AE3" s="1038"/>
      <c r="AF3" s="1038"/>
      <c r="AG3" s="1038"/>
      <c r="AH3" s="1038"/>
      <c r="AI3" s="1038"/>
      <c r="AJ3" s="1038"/>
      <c r="AK3" s="1038"/>
      <c r="AL3" s="1038"/>
      <c r="AM3" s="1039"/>
    </row>
    <row r="4" spans="1:39" ht="14.45" customHeight="1">
      <c r="A4" s="67"/>
      <c r="B4" s="1037"/>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9"/>
    </row>
    <row r="5" spans="1:39" ht="14.25">
      <c r="A5" s="67"/>
      <c r="B5" s="66"/>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7"/>
    </row>
    <row r="6" spans="1:39" ht="15.75" customHeight="1">
      <c r="A6" s="67"/>
      <c r="B6" s="66"/>
      <c r="C6" s="60"/>
      <c r="D6" s="60"/>
      <c r="E6" s="60"/>
      <c r="F6" s="60"/>
      <c r="G6" s="60"/>
      <c r="H6" s="60"/>
      <c r="I6" s="60"/>
      <c r="J6" s="60"/>
      <c r="K6" s="60"/>
      <c r="L6" s="60"/>
      <c r="M6" s="60"/>
      <c r="N6" s="60"/>
      <c r="O6" s="60"/>
      <c r="P6" s="60"/>
      <c r="Q6" s="60"/>
      <c r="R6" s="60"/>
      <c r="S6" s="60"/>
      <c r="T6" s="60"/>
      <c r="U6" s="60"/>
      <c r="V6" s="60"/>
      <c r="W6" s="60"/>
      <c r="X6" s="1043">
        <f ca="1">TODAY()</f>
        <v>46152</v>
      </c>
      <c r="Y6" s="1043"/>
      <c r="Z6" s="1043"/>
      <c r="AA6" s="1043"/>
      <c r="AB6" s="1043"/>
      <c r="AC6" s="1043"/>
      <c r="AD6" s="1043"/>
      <c r="AE6" s="1043"/>
      <c r="AF6" s="1043"/>
      <c r="AG6" s="1043"/>
      <c r="AH6" s="1043"/>
      <c r="AI6" s="1043"/>
      <c r="AJ6" s="1043"/>
      <c r="AK6" s="1043"/>
      <c r="AL6" s="1043"/>
      <c r="AM6" s="67"/>
    </row>
    <row r="7" spans="1:39" ht="14.25">
      <c r="A7" s="67"/>
      <c r="B7" s="66"/>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7"/>
    </row>
    <row r="8" spans="1:39" ht="14.25">
      <c r="A8" s="67"/>
      <c r="B8" s="111"/>
      <c r="C8" s="1060">
        <f>宿泊者名簿!A7</f>
        <v>0</v>
      </c>
      <c r="D8" s="1060"/>
      <c r="E8" s="1060"/>
      <c r="F8" s="1060"/>
      <c r="G8" s="1060"/>
      <c r="H8" s="1060"/>
      <c r="I8" s="1060"/>
      <c r="J8" s="1060"/>
      <c r="K8" s="1060"/>
      <c r="L8" s="1060"/>
      <c r="M8" s="1060"/>
      <c r="N8" s="60"/>
      <c r="O8" s="60"/>
      <c r="P8" s="68"/>
      <c r="Q8" s="60"/>
      <c r="R8" s="60"/>
      <c r="S8" s="60"/>
      <c r="T8" s="60"/>
      <c r="U8" s="60"/>
      <c r="V8" s="60"/>
      <c r="W8" s="60"/>
      <c r="X8" s="60"/>
      <c r="Y8" s="60"/>
      <c r="Z8" s="60"/>
      <c r="AA8" s="60"/>
      <c r="AB8" s="60"/>
      <c r="AC8" s="60"/>
      <c r="AD8" s="60"/>
      <c r="AE8" s="60"/>
      <c r="AF8" s="60"/>
      <c r="AG8" s="60"/>
      <c r="AH8" s="60"/>
      <c r="AI8" s="60"/>
      <c r="AJ8" s="60"/>
      <c r="AK8" s="60"/>
      <c r="AL8" s="60"/>
      <c r="AM8" s="67"/>
    </row>
    <row r="9" spans="1:39" ht="14.25">
      <c r="A9" s="67"/>
      <c r="B9" s="66"/>
      <c r="C9" s="1044">
        <f>宿泊者名簿!D8</f>
        <v>0</v>
      </c>
      <c r="D9" s="1044"/>
      <c r="E9" s="1044"/>
      <c r="F9" s="1044"/>
      <c r="G9" s="1044"/>
      <c r="H9" s="1044"/>
      <c r="I9" s="1044"/>
      <c r="J9" s="1044"/>
      <c r="K9" s="1044"/>
      <c r="L9" s="1044"/>
      <c r="M9" s="1044"/>
      <c r="N9" s="60" t="s">
        <v>211</v>
      </c>
      <c r="O9" s="73"/>
      <c r="R9" s="60"/>
      <c r="S9" s="60"/>
      <c r="U9" s="60"/>
      <c r="V9" s="60"/>
      <c r="W9" s="60"/>
      <c r="X9" s="60"/>
      <c r="Y9" s="60"/>
      <c r="Z9" s="60"/>
      <c r="AA9" s="60"/>
      <c r="AB9" s="60"/>
      <c r="AC9" s="60"/>
      <c r="AD9" s="60"/>
      <c r="AE9" s="60"/>
      <c r="AF9" s="60"/>
      <c r="AG9" s="60"/>
      <c r="AH9" s="60"/>
      <c r="AI9" s="60"/>
      <c r="AJ9" s="60"/>
      <c r="AK9" s="60"/>
      <c r="AL9" s="60"/>
      <c r="AM9" s="67"/>
    </row>
    <row r="10" spans="1:39" ht="18.75" customHeight="1">
      <c r="A10" s="67"/>
      <c r="B10" s="66"/>
      <c r="C10" s="60"/>
      <c r="D10" s="60"/>
      <c r="E10" s="60"/>
      <c r="F10" s="60"/>
      <c r="G10" s="60"/>
      <c r="H10" s="60"/>
      <c r="I10" s="60"/>
      <c r="J10" s="60"/>
      <c r="K10" s="60"/>
      <c r="L10" s="60"/>
      <c r="M10" s="60"/>
      <c r="N10" s="60"/>
      <c r="O10" s="1044"/>
      <c r="P10" s="1044"/>
      <c r="Q10" s="1044"/>
      <c r="R10" s="1044"/>
      <c r="S10" s="1044"/>
      <c r="T10" s="1044"/>
      <c r="U10" s="1044"/>
      <c r="V10" s="69"/>
      <c r="W10" s="1069"/>
      <c r="X10" s="1069"/>
      <c r="Y10" s="1069"/>
      <c r="Z10" s="1069"/>
      <c r="AA10" s="1069"/>
      <c r="AB10" s="1069"/>
      <c r="AC10" s="1069"/>
      <c r="AD10" s="1069"/>
      <c r="AE10" s="1069"/>
      <c r="AF10" s="70"/>
      <c r="AG10" s="70"/>
      <c r="AH10" s="70"/>
      <c r="AI10" s="70"/>
      <c r="AJ10" s="70"/>
      <c r="AK10" s="70"/>
      <c r="AL10" s="70"/>
      <c r="AM10" s="71"/>
    </row>
    <row r="11" spans="1:39" ht="18.75" customHeight="1">
      <c r="A11" s="67"/>
      <c r="B11" s="66"/>
      <c r="C11" s="60"/>
      <c r="D11" s="60"/>
      <c r="E11" s="60"/>
      <c r="F11" s="60"/>
      <c r="G11" s="60"/>
      <c r="H11" s="60"/>
      <c r="I11" s="60"/>
      <c r="J11" s="60"/>
      <c r="K11" s="60"/>
      <c r="L11" s="60"/>
      <c r="M11" s="60"/>
      <c r="N11" s="60"/>
      <c r="O11" s="60"/>
      <c r="P11" s="60"/>
      <c r="Q11" s="60"/>
      <c r="R11" s="60"/>
      <c r="S11" s="60"/>
      <c r="T11" s="60"/>
      <c r="U11" s="60"/>
      <c r="V11" s="60"/>
      <c r="W11" s="70"/>
      <c r="X11" s="70"/>
      <c r="Y11" s="70"/>
      <c r="Z11" s="70"/>
      <c r="AA11" s="70"/>
      <c r="AB11" s="70"/>
      <c r="AC11" s="70"/>
      <c r="AD11" s="70"/>
      <c r="AE11" s="70"/>
      <c r="AF11" s="70"/>
      <c r="AG11" s="70"/>
      <c r="AH11" s="70"/>
      <c r="AI11" s="70"/>
      <c r="AJ11" s="70"/>
      <c r="AK11" s="70"/>
      <c r="AL11" s="70"/>
      <c r="AM11" s="71"/>
    </row>
    <row r="12" spans="1:39" ht="19.5" customHeight="1">
      <c r="A12" s="67"/>
      <c r="B12" s="66"/>
      <c r="C12" s="60"/>
      <c r="D12" s="60"/>
      <c r="E12" s="60"/>
      <c r="F12" s="60"/>
      <c r="G12" s="60"/>
      <c r="H12" s="60"/>
      <c r="I12" s="60"/>
      <c r="J12" s="60"/>
      <c r="K12" s="60"/>
      <c r="L12" s="60"/>
      <c r="M12" s="60"/>
      <c r="N12" s="60"/>
      <c r="O12" s="1044"/>
      <c r="P12" s="1044"/>
      <c r="Q12" s="1044"/>
      <c r="R12" s="1044"/>
      <c r="S12" s="1044"/>
      <c r="T12" s="1044"/>
      <c r="U12" s="1044"/>
      <c r="V12" s="60"/>
      <c r="W12" s="1070" t="s">
        <v>212</v>
      </c>
      <c r="X12" s="1070"/>
      <c r="Y12" s="1070"/>
      <c r="Z12" s="1070"/>
      <c r="AA12" s="1070"/>
      <c r="AB12" s="1070"/>
      <c r="AC12" s="1070"/>
      <c r="AD12" s="1070"/>
      <c r="AE12" s="1070"/>
      <c r="AF12" s="1070"/>
      <c r="AG12" s="1070"/>
      <c r="AH12" s="1070"/>
      <c r="AI12" s="1070"/>
      <c r="AJ12" s="1070"/>
      <c r="AK12" s="1070"/>
      <c r="AL12" s="89"/>
      <c r="AM12" s="90"/>
    </row>
    <row r="13" spans="1:39" ht="19.5" customHeight="1">
      <c r="A13" s="67"/>
      <c r="B13" s="66"/>
      <c r="C13" s="60"/>
      <c r="D13" s="60"/>
      <c r="E13" s="60"/>
      <c r="F13" s="60"/>
      <c r="G13" s="60"/>
      <c r="H13" s="60"/>
      <c r="I13" s="60"/>
      <c r="J13" s="60"/>
      <c r="K13" s="60"/>
      <c r="L13" s="60"/>
      <c r="M13" s="60"/>
      <c r="N13" s="60"/>
      <c r="O13" s="60"/>
      <c r="P13" s="60"/>
      <c r="Q13" s="60"/>
      <c r="R13" s="60"/>
      <c r="S13" s="60"/>
      <c r="T13" s="60"/>
      <c r="U13" s="60"/>
      <c r="V13" s="60"/>
      <c r="W13" s="89"/>
      <c r="X13" s="89"/>
      <c r="Y13" s="89"/>
      <c r="Z13" s="1070" t="s">
        <v>213</v>
      </c>
      <c r="AA13" s="1070"/>
      <c r="AB13" s="1070"/>
      <c r="AC13" s="1070"/>
      <c r="AD13" s="1070"/>
      <c r="AE13" s="1070"/>
      <c r="AF13" s="1070"/>
      <c r="AG13" s="1070"/>
      <c r="AH13" s="1070"/>
      <c r="AI13" s="1070"/>
      <c r="AJ13" s="1070"/>
      <c r="AK13" s="1070"/>
      <c r="AL13" s="89"/>
      <c r="AM13" s="90"/>
    </row>
    <row r="14" spans="1:39" ht="19.5" customHeight="1">
      <c r="A14" s="67"/>
      <c r="B14" s="66"/>
      <c r="C14" s="60"/>
      <c r="D14" s="60"/>
      <c r="E14" s="60"/>
      <c r="F14" s="60"/>
      <c r="G14" s="60"/>
      <c r="H14" s="60" t="s">
        <v>214</v>
      </c>
      <c r="I14" s="60"/>
      <c r="J14" s="60"/>
      <c r="K14" s="60"/>
      <c r="L14" s="60"/>
      <c r="M14" s="60"/>
      <c r="N14" s="60"/>
      <c r="O14" s="60"/>
      <c r="P14" s="60"/>
      <c r="Q14" s="60"/>
      <c r="R14" s="60"/>
      <c r="S14" s="60"/>
      <c r="T14" s="60"/>
      <c r="U14" s="60"/>
      <c r="V14" s="60"/>
      <c r="W14" s="89"/>
      <c r="X14" s="89"/>
      <c r="Y14" s="89"/>
      <c r="Z14" s="89"/>
      <c r="AA14" s="89"/>
      <c r="AB14" s="89"/>
      <c r="AC14" s="89"/>
      <c r="AD14" s="89"/>
      <c r="AE14" s="89"/>
      <c r="AF14" s="89"/>
      <c r="AG14" s="89"/>
      <c r="AH14" s="89"/>
      <c r="AI14" s="89"/>
      <c r="AJ14" s="89"/>
      <c r="AK14" s="89"/>
      <c r="AL14" s="89"/>
      <c r="AM14" s="90"/>
    </row>
    <row r="15" spans="1:39" ht="19.5" customHeight="1">
      <c r="A15" s="67"/>
      <c r="B15" s="66"/>
      <c r="C15" s="60"/>
      <c r="D15" s="60"/>
      <c r="E15" s="60"/>
      <c r="F15" s="60"/>
      <c r="G15" s="60"/>
      <c r="H15" s="60"/>
      <c r="I15" s="60"/>
      <c r="J15" s="60"/>
      <c r="K15" s="60"/>
      <c r="L15" s="60"/>
      <c r="M15" s="60"/>
      <c r="N15" s="60"/>
      <c r="O15" s="60"/>
      <c r="P15" s="60"/>
      <c r="Q15" s="60"/>
      <c r="R15" s="60"/>
      <c r="S15" s="60"/>
      <c r="T15" s="60"/>
      <c r="U15" s="60"/>
      <c r="V15" s="60"/>
      <c r="W15" s="89"/>
      <c r="X15" s="89"/>
      <c r="Y15" s="89"/>
      <c r="Z15" s="89"/>
      <c r="AA15" s="89"/>
      <c r="AB15" s="89"/>
      <c r="AC15" s="89"/>
      <c r="AD15" s="89"/>
      <c r="AE15" s="89"/>
      <c r="AF15" s="89"/>
      <c r="AG15" s="89"/>
      <c r="AH15" s="89"/>
      <c r="AI15" s="89"/>
      <c r="AJ15" s="89"/>
      <c r="AK15" s="89"/>
      <c r="AL15" s="89"/>
      <c r="AM15" s="90"/>
    </row>
    <row r="16" spans="1:39" ht="19.5" customHeight="1">
      <c r="A16" s="67"/>
      <c r="B16" s="66"/>
      <c r="AL16" s="60"/>
      <c r="AM16" s="67"/>
    </row>
    <row r="17" spans="1:39" ht="19.5" customHeight="1">
      <c r="A17" s="67"/>
      <c r="B17" s="66"/>
      <c r="C17" s="933" t="s">
        <v>176</v>
      </c>
      <c r="D17" s="933"/>
      <c r="E17" s="933"/>
      <c r="F17" s="933"/>
      <c r="G17" s="933"/>
      <c r="H17" s="933"/>
      <c r="I17" s="933"/>
      <c r="J17" s="933"/>
      <c r="K17" s="933"/>
      <c r="L17" s="933"/>
      <c r="M17" s="933"/>
      <c r="N17" s="933"/>
      <c r="O17" s="933"/>
      <c r="P17" s="933"/>
      <c r="Q17" s="933"/>
      <c r="R17" s="933"/>
      <c r="S17" s="933"/>
      <c r="T17" s="933"/>
      <c r="U17" s="933"/>
      <c r="V17" s="933"/>
      <c r="W17" s="933"/>
      <c r="X17" s="933"/>
      <c r="Y17" s="933"/>
      <c r="Z17" s="933"/>
      <c r="AA17" s="933"/>
      <c r="AB17" s="933"/>
      <c r="AC17" s="933"/>
      <c r="AD17" s="933"/>
      <c r="AE17" s="933"/>
      <c r="AF17" s="933"/>
      <c r="AG17" s="933"/>
      <c r="AH17" s="933"/>
      <c r="AI17" s="933"/>
      <c r="AJ17" s="933"/>
      <c r="AK17" s="933"/>
      <c r="AL17" s="60"/>
      <c r="AM17" s="67"/>
    </row>
    <row r="18" spans="1:39" ht="19.5" customHeight="1">
      <c r="A18" s="67"/>
      <c r="B18" s="66"/>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7"/>
    </row>
    <row r="19" spans="1:39" ht="19.5" customHeight="1">
      <c r="A19" s="67"/>
      <c r="B19" s="1031" t="s">
        <v>177</v>
      </c>
      <c r="C19" s="960"/>
      <c r="D19" s="960"/>
      <c r="E19" s="960"/>
      <c r="F19" s="960"/>
      <c r="G19" s="960"/>
      <c r="H19" s="960"/>
      <c r="I19" s="960"/>
      <c r="J19" s="1061">
        <f>宿泊者名簿!D12</f>
        <v>0</v>
      </c>
      <c r="K19" s="1062"/>
      <c r="L19" s="1062"/>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2"/>
      <c r="AL19" s="1062"/>
      <c r="AM19" s="1063"/>
    </row>
    <row r="20" spans="1:39" ht="19.5" customHeight="1">
      <c r="A20" s="67"/>
      <c r="B20" s="963"/>
      <c r="C20" s="908"/>
      <c r="D20" s="908"/>
      <c r="E20" s="908"/>
      <c r="F20" s="908"/>
      <c r="G20" s="908"/>
      <c r="H20" s="908"/>
      <c r="I20" s="908"/>
      <c r="J20" s="1064"/>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065"/>
      <c r="AK20" s="1065"/>
      <c r="AL20" s="1065"/>
      <c r="AM20" s="1066"/>
    </row>
    <row r="21" spans="1:39" ht="15" customHeight="1">
      <c r="A21" s="67"/>
      <c r="B21" s="1031" t="s">
        <v>178</v>
      </c>
      <c r="C21" s="960"/>
      <c r="D21" s="960"/>
      <c r="E21" s="960"/>
      <c r="F21" s="960"/>
      <c r="G21" s="960"/>
      <c r="H21" s="960"/>
      <c r="I21" s="960"/>
      <c r="J21" s="86"/>
      <c r="K21" s="1086" t="str">
        <f>'宿泊利用許可申請書(入力不可)'!K31</f>
        <v>令和</v>
      </c>
      <c r="L21" s="1086"/>
      <c r="M21" s="1086"/>
      <c r="N21" s="967">
        <f>宿泊者名簿!M6</f>
        <v>0</v>
      </c>
      <c r="O21" s="967"/>
      <c r="P21" s="967" t="s">
        <v>180</v>
      </c>
      <c r="Q21" s="967"/>
      <c r="R21" s="1073">
        <f>宿泊者名簿!P6</f>
        <v>0</v>
      </c>
      <c r="S21" s="1073"/>
      <c r="T21" s="1075" t="s">
        <v>220</v>
      </c>
      <c r="U21" s="1075"/>
      <c r="V21" s="1073">
        <f>宿泊者名簿!R6</f>
        <v>0</v>
      </c>
      <c r="W21" s="1073"/>
      <c r="X21" s="1075" t="s">
        <v>223</v>
      </c>
      <c r="Y21" s="1075"/>
      <c r="Z21" s="1071" t="s">
        <v>222</v>
      </c>
      <c r="AA21" s="1071"/>
      <c r="AB21" s="1092">
        <f>DATE(N21+2018,R21,V21)</f>
        <v>43069</v>
      </c>
      <c r="AC21" s="1092"/>
      <c r="AD21" s="1090" t="s">
        <v>221</v>
      </c>
      <c r="AE21" s="1090"/>
      <c r="AF21" s="1081">
        <f>活動申込!C12</f>
        <v>0</v>
      </c>
      <c r="AG21" s="1081"/>
      <c r="AH21" s="1081"/>
      <c r="AI21" s="1081"/>
      <c r="AJ21" s="109"/>
      <c r="AK21" s="1067" t="s">
        <v>185</v>
      </c>
      <c r="AL21" s="1067"/>
      <c r="AM21" s="1068"/>
    </row>
    <row r="22" spans="1:39" ht="15" customHeight="1">
      <c r="A22" s="67"/>
      <c r="B22" s="961"/>
      <c r="C22" s="962"/>
      <c r="D22" s="962"/>
      <c r="E22" s="962"/>
      <c r="F22" s="962"/>
      <c r="G22" s="962"/>
      <c r="H22" s="962"/>
      <c r="I22" s="962"/>
      <c r="J22" s="87"/>
      <c r="K22" s="1087"/>
      <c r="L22" s="1087"/>
      <c r="M22" s="1087"/>
      <c r="N22" s="969"/>
      <c r="O22" s="969"/>
      <c r="P22" s="969"/>
      <c r="Q22" s="969"/>
      <c r="R22" s="1074"/>
      <c r="S22" s="1074"/>
      <c r="T22" s="1076"/>
      <c r="U22" s="1076"/>
      <c r="V22" s="1074"/>
      <c r="W22" s="1074"/>
      <c r="X22" s="1076"/>
      <c r="Y22" s="1076"/>
      <c r="Z22" s="1072"/>
      <c r="AA22" s="1072"/>
      <c r="AB22" s="1093"/>
      <c r="AC22" s="1093"/>
      <c r="AD22" s="1091"/>
      <c r="AE22" s="1091"/>
      <c r="AF22" s="1079"/>
      <c r="AG22" s="1079"/>
      <c r="AH22" s="1079"/>
      <c r="AI22" s="1079"/>
      <c r="AJ22" s="154"/>
      <c r="AK22" s="1054"/>
      <c r="AL22" s="1054"/>
      <c r="AM22" s="1055"/>
    </row>
    <row r="23" spans="1:39" ht="15" customHeight="1">
      <c r="A23" s="67"/>
      <c r="B23" s="961"/>
      <c r="C23" s="962"/>
      <c r="D23" s="962"/>
      <c r="E23" s="962"/>
      <c r="F23" s="962"/>
      <c r="G23" s="962"/>
      <c r="H23" s="962"/>
      <c r="I23" s="962"/>
      <c r="J23" s="87"/>
      <c r="K23" s="1087"/>
      <c r="L23" s="1087"/>
      <c r="M23" s="1087"/>
      <c r="N23" s="969"/>
      <c r="O23" s="969"/>
      <c r="P23" s="969"/>
      <c r="Q23" s="969"/>
      <c r="R23" s="1074" t="e">
        <f>MONTH(DATE(宿泊者名簿!M6,宿泊者名簿!P6,宿泊者名簿!R6)+宿泊者名簿!M9)</f>
        <v>#NUM!</v>
      </c>
      <c r="S23" s="1074"/>
      <c r="T23" s="1076" t="s">
        <v>220</v>
      </c>
      <c r="U23" s="1076"/>
      <c r="V23" s="1074" t="e">
        <f>DAY(DATE(宿泊者名簿!M6,宿泊者名簿!P6,宿泊者名簿!R6)+宿泊者名簿!M9)</f>
        <v>#NUM!</v>
      </c>
      <c r="W23" s="1074"/>
      <c r="X23" s="1076" t="s">
        <v>223</v>
      </c>
      <c r="Y23" s="1076"/>
      <c r="Z23" s="1072" t="s">
        <v>222</v>
      </c>
      <c r="AA23" s="1072"/>
      <c r="AB23" s="1093" t="e">
        <f>TEXT(DATE(N21+2018,R23,V23),"aaa")</f>
        <v>#NUM!</v>
      </c>
      <c r="AC23" s="1093"/>
      <c r="AD23" s="1091" t="s">
        <v>221</v>
      </c>
      <c r="AE23" s="1091"/>
      <c r="AF23" s="1079">
        <f>活動申込!R12</f>
        <v>0</v>
      </c>
      <c r="AG23" s="1079"/>
      <c r="AH23" s="1079"/>
      <c r="AI23" s="1079"/>
      <c r="AJ23" s="154"/>
      <c r="AK23" s="1054" t="s">
        <v>186</v>
      </c>
      <c r="AL23" s="1054"/>
      <c r="AM23" s="1055"/>
    </row>
    <row r="24" spans="1:39" ht="15" customHeight="1">
      <c r="A24" s="67"/>
      <c r="B24" s="963"/>
      <c r="C24" s="908"/>
      <c r="D24" s="908"/>
      <c r="E24" s="908"/>
      <c r="F24" s="908"/>
      <c r="G24" s="908"/>
      <c r="H24" s="908"/>
      <c r="I24" s="908"/>
      <c r="J24" s="88"/>
      <c r="K24" s="1088"/>
      <c r="L24" s="1088"/>
      <c r="M24" s="1088"/>
      <c r="N24" s="1009"/>
      <c r="O24" s="1009"/>
      <c r="P24" s="1009"/>
      <c r="Q24" s="1009"/>
      <c r="R24" s="1082"/>
      <c r="S24" s="1082"/>
      <c r="T24" s="1083"/>
      <c r="U24" s="1083"/>
      <c r="V24" s="1082"/>
      <c r="W24" s="1082"/>
      <c r="X24" s="1083"/>
      <c r="Y24" s="1083"/>
      <c r="Z24" s="1089"/>
      <c r="AA24" s="1089"/>
      <c r="AB24" s="1094"/>
      <c r="AC24" s="1094"/>
      <c r="AD24" s="1095"/>
      <c r="AE24" s="1095"/>
      <c r="AF24" s="1080"/>
      <c r="AG24" s="1080"/>
      <c r="AH24" s="1080"/>
      <c r="AI24" s="1080"/>
      <c r="AJ24" s="110"/>
      <c r="AK24" s="1077"/>
      <c r="AL24" s="1077"/>
      <c r="AM24" s="1078"/>
    </row>
    <row r="25" spans="1:39" ht="17.25" customHeight="1">
      <c r="A25" s="67"/>
      <c r="B25" s="1015" t="s">
        <v>187</v>
      </c>
      <c r="C25" s="931"/>
      <c r="D25" s="931"/>
      <c r="E25" s="931"/>
      <c r="F25" s="931"/>
      <c r="G25" s="931"/>
      <c r="H25" s="931"/>
      <c r="I25" s="932"/>
      <c r="J25" s="1017" t="s">
        <v>188</v>
      </c>
      <c r="K25" s="1018"/>
      <c r="L25" s="1084">
        <f>宿泊者名簿!R16</f>
        <v>0</v>
      </c>
      <c r="M25" s="1084"/>
      <c r="N25" s="1084"/>
      <c r="O25" s="1021" t="s">
        <v>189</v>
      </c>
      <c r="P25" s="1021"/>
      <c r="Q25" s="1021" t="s">
        <v>190</v>
      </c>
      <c r="R25" s="1021"/>
      <c r="S25" s="931" t="s">
        <v>191</v>
      </c>
      <c r="T25" s="931"/>
      <c r="U25" s="1084">
        <f>宿泊者名簿!R17</f>
        <v>0</v>
      </c>
      <c r="V25" s="1084"/>
      <c r="W25" s="1084"/>
      <c r="X25" s="1021" t="s">
        <v>189</v>
      </c>
      <c r="Y25" s="1021"/>
      <c r="Z25" s="1021"/>
      <c r="AA25" s="1021"/>
      <c r="AB25" s="1021" t="s">
        <v>192</v>
      </c>
      <c r="AC25" s="1021"/>
      <c r="AD25" s="1084">
        <f>L25+U25</f>
        <v>0</v>
      </c>
      <c r="AE25" s="1084"/>
      <c r="AF25" s="1084"/>
      <c r="AG25" s="1021" t="s">
        <v>189</v>
      </c>
      <c r="AH25" s="1021"/>
      <c r="AI25" s="993"/>
      <c r="AJ25" s="993"/>
      <c r="AK25" s="993"/>
      <c r="AL25" s="993"/>
      <c r="AM25" s="998"/>
    </row>
    <row r="26" spans="1:39" ht="17.25" customHeight="1">
      <c r="A26" s="67"/>
      <c r="B26" s="1016"/>
      <c r="C26" s="933"/>
      <c r="D26" s="933"/>
      <c r="E26" s="933"/>
      <c r="F26" s="933"/>
      <c r="G26" s="933"/>
      <c r="H26" s="933"/>
      <c r="I26" s="934"/>
      <c r="J26" s="1019"/>
      <c r="K26" s="1020"/>
      <c r="L26" s="1085"/>
      <c r="M26" s="1085"/>
      <c r="N26" s="1085"/>
      <c r="O26" s="1022"/>
      <c r="P26" s="1022"/>
      <c r="Q26" s="1022"/>
      <c r="R26" s="1022"/>
      <c r="S26" s="933"/>
      <c r="T26" s="933"/>
      <c r="U26" s="1085"/>
      <c r="V26" s="1085"/>
      <c r="W26" s="1085"/>
      <c r="X26" s="1022"/>
      <c r="Y26" s="1022"/>
      <c r="Z26" s="1022"/>
      <c r="AA26" s="1022"/>
      <c r="AB26" s="1022"/>
      <c r="AC26" s="1022"/>
      <c r="AD26" s="1085"/>
      <c r="AE26" s="1085"/>
      <c r="AF26" s="1085"/>
      <c r="AG26" s="1022"/>
      <c r="AH26" s="1022"/>
      <c r="AI26" s="1032"/>
      <c r="AJ26" s="1032"/>
      <c r="AK26" s="1032"/>
      <c r="AL26" s="1032"/>
      <c r="AM26" s="1033"/>
    </row>
    <row r="27" spans="1:39" ht="12.75" customHeight="1">
      <c r="A27" s="67"/>
      <c r="B27" s="959" t="s">
        <v>193</v>
      </c>
      <c r="C27" s="960"/>
      <c r="D27" s="960"/>
      <c r="E27" s="960"/>
      <c r="F27" s="960"/>
      <c r="G27" s="960"/>
      <c r="H27" s="960"/>
      <c r="I27" s="960"/>
      <c r="J27" s="960" t="s">
        <v>194</v>
      </c>
      <c r="K27" s="960"/>
      <c r="L27" s="960"/>
      <c r="M27" s="964"/>
      <c r="N27" s="1084">
        <f>宿泊者名簿!D10</f>
        <v>0</v>
      </c>
      <c r="O27" s="1084"/>
      <c r="P27" s="1084"/>
      <c r="Q27" s="1084"/>
      <c r="R27" s="1084"/>
      <c r="S27" s="1084"/>
      <c r="T27" s="1084"/>
      <c r="U27" s="1084"/>
      <c r="V27" s="1084" t="s">
        <v>215</v>
      </c>
      <c r="W27" s="1084"/>
      <c r="X27" s="91"/>
      <c r="Y27" s="92"/>
      <c r="Z27" s="932"/>
      <c r="AA27" s="960"/>
      <c r="AB27" s="960"/>
      <c r="AC27" s="964"/>
      <c r="AD27" s="1096"/>
      <c r="AE27" s="1096"/>
      <c r="AF27" s="1096"/>
      <c r="AG27" s="1096"/>
      <c r="AH27" s="1096"/>
      <c r="AI27" s="1096"/>
      <c r="AJ27" s="1096"/>
      <c r="AK27" s="1096"/>
      <c r="AL27" s="1096"/>
      <c r="AM27" s="1097"/>
    </row>
    <row r="28" spans="1:39" ht="12.75" customHeight="1">
      <c r="A28" s="67"/>
      <c r="B28" s="961"/>
      <c r="C28" s="962"/>
      <c r="D28" s="962"/>
      <c r="E28" s="962"/>
      <c r="F28" s="962"/>
      <c r="G28" s="962"/>
      <c r="H28" s="962"/>
      <c r="I28" s="962"/>
      <c r="J28" s="962"/>
      <c r="K28" s="962"/>
      <c r="L28" s="962"/>
      <c r="M28" s="965"/>
      <c r="N28" s="1085"/>
      <c r="O28" s="1085"/>
      <c r="P28" s="1085"/>
      <c r="Q28" s="1085"/>
      <c r="R28" s="1085"/>
      <c r="S28" s="1085"/>
      <c r="T28" s="1085"/>
      <c r="U28" s="1085"/>
      <c r="V28" s="1085"/>
      <c r="W28" s="1085"/>
      <c r="X28" s="155"/>
      <c r="Y28" s="156"/>
      <c r="Z28" s="934"/>
      <c r="AA28" s="962"/>
      <c r="AB28" s="962"/>
      <c r="AC28" s="965"/>
      <c r="AD28" s="1098"/>
      <c r="AE28" s="1098"/>
      <c r="AF28" s="1098"/>
      <c r="AG28" s="1098"/>
      <c r="AH28" s="1098"/>
      <c r="AI28" s="1098"/>
      <c r="AJ28" s="1098"/>
      <c r="AK28" s="1098"/>
      <c r="AL28" s="1098"/>
      <c r="AM28" s="1099"/>
    </row>
    <row r="29" spans="1:39" ht="12.75" customHeight="1" thickBot="1">
      <c r="A29" s="67"/>
      <c r="B29" s="963"/>
      <c r="C29" s="908"/>
      <c r="D29" s="908"/>
      <c r="E29" s="908"/>
      <c r="F29" s="908"/>
      <c r="G29" s="908"/>
      <c r="H29" s="908"/>
      <c r="I29" s="908"/>
      <c r="J29" s="908"/>
      <c r="K29" s="908"/>
      <c r="L29" s="908"/>
      <c r="M29" s="966"/>
      <c r="N29" s="1100"/>
      <c r="O29" s="1100"/>
      <c r="P29" s="1100"/>
      <c r="Q29" s="1100"/>
      <c r="R29" s="1100"/>
      <c r="S29" s="1100"/>
      <c r="T29" s="1100"/>
      <c r="U29" s="1100"/>
      <c r="V29" s="1100"/>
      <c r="W29" s="1100"/>
      <c r="X29" s="93"/>
      <c r="Y29" s="94"/>
      <c r="Z29" s="936"/>
      <c r="AA29" s="908"/>
      <c r="AB29" s="908"/>
      <c r="AC29" s="966"/>
      <c r="AD29" s="1098"/>
      <c r="AE29" s="1098"/>
      <c r="AF29" s="1098"/>
      <c r="AG29" s="1098"/>
      <c r="AH29" s="1098"/>
      <c r="AI29" s="1098"/>
      <c r="AJ29" s="1098"/>
      <c r="AK29" s="1098"/>
      <c r="AL29" s="1098"/>
      <c r="AM29" s="1099"/>
    </row>
    <row r="30" spans="1:39" ht="9.75" customHeight="1">
      <c r="A30" s="67"/>
      <c r="B30" s="971" t="s">
        <v>196</v>
      </c>
      <c r="C30" s="972"/>
      <c r="D30" s="972"/>
      <c r="E30" s="972"/>
      <c r="F30" s="977" t="s">
        <v>197</v>
      </c>
      <c r="G30" s="943"/>
      <c r="H30" s="943"/>
      <c r="I30" s="944"/>
      <c r="J30" s="980" t="s">
        <v>198</v>
      </c>
      <c r="K30" s="980"/>
      <c r="L30" s="980"/>
      <c r="M30" s="980"/>
      <c r="N30" s="980"/>
      <c r="O30" s="981" t="s">
        <v>199</v>
      </c>
      <c r="P30" s="982"/>
      <c r="Q30" s="982"/>
      <c r="R30" s="982"/>
      <c r="S30" s="982"/>
      <c r="T30" s="982"/>
      <c r="U30" s="982"/>
      <c r="V30" s="982"/>
      <c r="W30" s="982"/>
      <c r="X30" s="982"/>
      <c r="Y30" s="982"/>
      <c r="Z30" s="982"/>
      <c r="AA30" s="982"/>
      <c r="AB30" s="982"/>
      <c r="AC30" s="982"/>
      <c r="AD30" s="982"/>
      <c r="AE30" s="982"/>
      <c r="AF30" s="982"/>
      <c r="AG30" s="982"/>
      <c r="AH30" s="983"/>
      <c r="AI30" s="1101" t="s">
        <v>200</v>
      </c>
      <c r="AJ30" s="1102"/>
      <c r="AK30" s="1102"/>
      <c r="AL30" s="1102"/>
      <c r="AM30" s="1103"/>
    </row>
    <row r="31" spans="1:39" ht="9.75" customHeight="1">
      <c r="A31" s="67"/>
      <c r="B31" s="973"/>
      <c r="C31" s="974"/>
      <c r="D31" s="974"/>
      <c r="E31" s="974"/>
      <c r="F31" s="978"/>
      <c r="G31" s="946"/>
      <c r="H31" s="946"/>
      <c r="I31" s="947"/>
      <c r="J31" s="980"/>
      <c r="K31" s="980"/>
      <c r="L31" s="980"/>
      <c r="M31" s="980"/>
      <c r="N31" s="980"/>
      <c r="O31" s="984"/>
      <c r="P31" s="985"/>
      <c r="Q31" s="985"/>
      <c r="R31" s="985"/>
      <c r="S31" s="985"/>
      <c r="T31" s="985"/>
      <c r="U31" s="985"/>
      <c r="V31" s="985"/>
      <c r="W31" s="985"/>
      <c r="X31" s="985"/>
      <c r="Y31" s="985"/>
      <c r="Z31" s="985"/>
      <c r="AA31" s="985"/>
      <c r="AB31" s="985"/>
      <c r="AC31" s="985"/>
      <c r="AD31" s="985"/>
      <c r="AE31" s="985"/>
      <c r="AF31" s="985"/>
      <c r="AG31" s="985"/>
      <c r="AH31" s="986"/>
      <c r="AI31" s="1104"/>
      <c r="AJ31" s="1105"/>
      <c r="AK31" s="1105"/>
      <c r="AL31" s="1105"/>
      <c r="AM31" s="1106"/>
    </row>
    <row r="32" spans="1:39" ht="9.75" customHeight="1">
      <c r="A32" s="67"/>
      <c r="B32" s="973"/>
      <c r="C32" s="974"/>
      <c r="D32" s="974"/>
      <c r="E32" s="974"/>
      <c r="F32" s="978"/>
      <c r="G32" s="946"/>
      <c r="H32" s="946"/>
      <c r="I32" s="947"/>
      <c r="J32" s="980"/>
      <c r="K32" s="980"/>
      <c r="L32" s="980"/>
      <c r="M32" s="980"/>
      <c r="N32" s="980"/>
      <c r="O32" s="992" t="s">
        <v>201</v>
      </c>
      <c r="P32" s="993"/>
      <c r="Q32" s="993"/>
      <c r="R32" s="993"/>
      <c r="S32" s="994"/>
      <c r="T32" s="993" t="s">
        <v>202</v>
      </c>
      <c r="U32" s="993"/>
      <c r="V32" s="993"/>
      <c r="W32" s="993"/>
      <c r="X32" s="993"/>
      <c r="Y32" s="992" t="s">
        <v>203</v>
      </c>
      <c r="Z32" s="993"/>
      <c r="AA32" s="993"/>
      <c r="AB32" s="993"/>
      <c r="AC32" s="994"/>
      <c r="AD32" s="993" t="s">
        <v>204</v>
      </c>
      <c r="AE32" s="993"/>
      <c r="AF32" s="993"/>
      <c r="AG32" s="993"/>
      <c r="AH32" s="998"/>
      <c r="AI32" s="1104"/>
      <c r="AJ32" s="1105"/>
      <c r="AK32" s="1105"/>
      <c r="AL32" s="1105"/>
      <c r="AM32" s="1106"/>
    </row>
    <row r="33" spans="1:39" ht="9.75" customHeight="1">
      <c r="A33" s="67"/>
      <c r="B33" s="975"/>
      <c r="C33" s="976"/>
      <c r="D33" s="976"/>
      <c r="E33" s="976"/>
      <c r="F33" s="979"/>
      <c r="G33" s="949"/>
      <c r="H33" s="949"/>
      <c r="I33" s="950"/>
      <c r="J33" s="980"/>
      <c r="K33" s="980"/>
      <c r="L33" s="980"/>
      <c r="M33" s="980"/>
      <c r="N33" s="980"/>
      <c r="O33" s="995"/>
      <c r="P33" s="996"/>
      <c r="Q33" s="996"/>
      <c r="R33" s="996"/>
      <c r="S33" s="997"/>
      <c r="T33" s="996"/>
      <c r="U33" s="996"/>
      <c r="V33" s="996"/>
      <c r="W33" s="996"/>
      <c r="X33" s="996"/>
      <c r="Y33" s="995"/>
      <c r="Z33" s="996"/>
      <c r="AA33" s="996"/>
      <c r="AB33" s="996"/>
      <c r="AC33" s="997"/>
      <c r="AD33" s="996"/>
      <c r="AE33" s="996"/>
      <c r="AF33" s="996"/>
      <c r="AG33" s="996"/>
      <c r="AH33" s="999"/>
      <c r="AI33" s="1107"/>
      <c r="AJ33" s="1108"/>
      <c r="AK33" s="1108"/>
      <c r="AL33" s="1108"/>
      <c r="AM33" s="1109"/>
    </row>
    <row r="34" spans="1:39" ht="14.25" customHeight="1">
      <c r="A34" s="67"/>
      <c r="B34" s="942" t="s">
        <v>216</v>
      </c>
      <c r="C34" s="943"/>
      <c r="D34" s="943"/>
      <c r="E34" s="943"/>
      <c r="F34" s="97"/>
      <c r="G34" s="98"/>
      <c r="H34" s="98"/>
      <c r="I34" s="99"/>
      <c r="J34" s="76" t="s">
        <v>188</v>
      </c>
      <c r="K34" s="1112">
        <f>COUNTIF(宿泊者名簿!$Z$22:$Z$421,1)</f>
        <v>0</v>
      </c>
      <c r="L34" s="1112"/>
      <c r="M34" s="1112"/>
      <c r="N34" s="77" t="s">
        <v>189</v>
      </c>
      <c r="O34" s="1113">
        <f>COUNTIF(宿泊者名簿!$F$22:$F$421,2)+COUNTIF(宿泊者名簿!$F$22:$F$421,3)</f>
        <v>0</v>
      </c>
      <c r="P34" s="1114"/>
      <c r="Q34" s="1114"/>
      <c r="R34" s="1114"/>
      <c r="S34" s="1115"/>
      <c r="T34" s="1114">
        <f>COUNTIF(宿泊者名簿!$F$22:$F$421,4)</f>
        <v>0</v>
      </c>
      <c r="U34" s="1114"/>
      <c r="V34" s="1114"/>
      <c r="W34" s="1114"/>
      <c r="X34" s="1114"/>
      <c r="Y34" s="916">
        <f>COUNTIF(宿泊者名簿!$F$22:$F$421,5)+COUNTIF(宿泊者名簿!$F$22:$F$421,6)+COUNTIF(宿泊者名簿!$F$22:$F$421,7)</f>
        <v>0</v>
      </c>
      <c r="Z34" s="917"/>
      <c r="AA34" s="917"/>
      <c r="AB34" s="917"/>
      <c r="AC34" s="925"/>
      <c r="AD34" s="917">
        <f>COUNTIF(宿泊者名簿!$F$22:$F$421,1)</f>
        <v>0</v>
      </c>
      <c r="AE34" s="917"/>
      <c r="AF34" s="917"/>
      <c r="AG34" s="917"/>
      <c r="AH34" s="918"/>
      <c r="AI34" s="931"/>
      <c r="AJ34" s="931"/>
      <c r="AK34" s="931"/>
      <c r="AL34" s="931"/>
      <c r="AM34" s="932"/>
    </row>
    <row r="35" spans="1:39" ht="14.25" customHeight="1">
      <c r="A35" s="67"/>
      <c r="B35" s="945"/>
      <c r="C35" s="946"/>
      <c r="D35" s="946"/>
      <c r="E35" s="946"/>
      <c r="F35" s="107">
        <f>宿泊者名簿!P6</f>
        <v>0</v>
      </c>
      <c r="G35" s="79" t="s">
        <v>181</v>
      </c>
      <c r="H35" s="103">
        <f>宿泊者名簿!R6</f>
        <v>0</v>
      </c>
      <c r="I35" s="80" t="s">
        <v>182</v>
      </c>
      <c r="J35" s="81" t="s">
        <v>191</v>
      </c>
      <c r="K35" s="1110">
        <f>COUNTIF(宿泊者名簿!$Z$22:$Z$421,2)</f>
        <v>0</v>
      </c>
      <c r="L35" s="1110"/>
      <c r="M35" s="1110"/>
      <c r="N35" s="82" t="s">
        <v>189</v>
      </c>
      <c r="O35" s="1116"/>
      <c r="P35" s="1117"/>
      <c r="Q35" s="1117"/>
      <c r="R35" s="1117"/>
      <c r="S35" s="1118"/>
      <c r="T35" s="1117"/>
      <c r="U35" s="1117"/>
      <c r="V35" s="1117"/>
      <c r="W35" s="1117"/>
      <c r="X35" s="1117"/>
      <c r="Y35" s="919"/>
      <c r="Z35" s="920"/>
      <c r="AA35" s="920"/>
      <c r="AB35" s="920"/>
      <c r="AC35" s="926"/>
      <c r="AD35" s="920"/>
      <c r="AE35" s="920"/>
      <c r="AF35" s="920"/>
      <c r="AG35" s="920"/>
      <c r="AH35" s="921"/>
      <c r="AI35" s="933"/>
      <c r="AJ35" s="933"/>
      <c r="AK35" s="933"/>
      <c r="AL35" s="933"/>
      <c r="AM35" s="934"/>
    </row>
    <row r="36" spans="1:39" ht="14.25" customHeight="1">
      <c r="A36" s="67"/>
      <c r="B36" s="948"/>
      <c r="C36" s="949"/>
      <c r="D36" s="949"/>
      <c r="E36" s="949"/>
      <c r="F36" s="100"/>
      <c r="G36" s="101"/>
      <c r="H36" s="101"/>
      <c r="I36" s="102"/>
      <c r="J36" s="83" t="s">
        <v>192</v>
      </c>
      <c r="K36" s="1111">
        <f>SUM(K34:M35)</f>
        <v>0</v>
      </c>
      <c r="L36" s="1111"/>
      <c r="M36" s="1111"/>
      <c r="N36" s="84" t="s">
        <v>189</v>
      </c>
      <c r="O36" s="1119"/>
      <c r="P36" s="1120"/>
      <c r="Q36" s="1120"/>
      <c r="R36" s="1120"/>
      <c r="S36" s="1121"/>
      <c r="T36" s="1120"/>
      <c r="U36" s="1120"/>
      <c r="V36" s="1120"/>
      <c r="W36" s="1120"/>
      <c r="X36" s="1120"/>
      <c r="Y36" s="927"/>
      <c r="Z36" s="928"/>
      <c r="AA36" s="928"/>
      <c r="AB36" s="928"/>
      <c r="AC36" s="929"/>
      <c r="AD36" s="928"/>
      <c r="AE36" s="928"/>
      <c r="AF36" s="928"/>
      <c r="AG36" s="928"/>
      <c r="AH36" s="930"/>
      <c r="AI36" s="935"/>
      <c r="AJ36" s="935"/>
      <c r="AK36" s="935"/>
      <c r="AL36" s="935"/>
      <c r="AM36" s="936"/>
    </row>
    <row r="37" spans="1:39" ht="14.25" customHeight="1">
      <c r="A37" s="67"/>
      <c r="B37" s="942" t="s">
        <v>216</v>
      </c>
      <c r="C37" s="943"/>
      <c r="D37" s="943"/>
      <c r="E37" s="943"/>
      <c r="F37" s="955"/>
      <c r="G37" s="954"/>
      <c r="H37" s="954"/>
      <c r="I37" s="956"/>
      <c r="J37" s="76" t="s">
        <v>188</v>
      </c>
      <c r="K37" s="1112">
        <f>COUNTIF(宿泊者名簿!$AA$22:$AA$421,1)</f>
        <v>0</v>
      </c>
      <c r="L37" s="1112"/>
      <c r="M37" s="1112"/>
      <c r="N37" s="77" t="s">
        <v>189</v>
      </c>
      <c r="O37" s="1113">
        <f>COUNTIF(宿泊者名簿!$G$22:$G$421,2)+COUNTIF(宿泊者名簿!$G$22:$G$421,3)</f>
        <v>0</v>
      </c>
      <c r="P37" s="1114"/>
      <c r="Q37" s="1114"/>
      <c r="R37" s="1114"/>
      <c r="S37" s="1115"/>
      <c r="T37" s="1114">
        <f>COUNTIF(宿泊者名簿!$G$22:$G$421,4)</f>
        <v>0</v>
      </c>
      <c r="U37" s="1114"/>
      <c r="V37" s="1114"/>
      <c r="W37" s="1114"/>
      <c r="X37" s="1114"/>
      <c r="Y37" s="916">
        <f>COUNTIF(宿泊者名簿!$G$22:$G$421,5)+COUNTIF(宿泊者名簿!$G$22:$G$421,6)+COUNTIF(宿泊者名簿!$G$22:$G$421,7)</f>
        <v>0</v>
      </c>
      <c r="Z37" s="917"/>
      <c r="AA37" s="917"/>
      <c r="AB37" s="917"/>
      <c r="AC37" s="925"/>
      <c r="AD37" s="917">
        <f>COUNTIF(宿泊者名簿!$G$22:$G$421,1)</f>
        <v>0</v>
      </c>
      <c r="AE37" s="917"/>
      <c r="AF37" s="917"/>
      <c r="AG37" s="917"/>
      <c r="AH37" s="918"/>
      <c r="AI37" s="931"/>
      <c r="AJ37" s="931"/>
      <c r="AK37" s="931"/>
      <c r="AL37" s="931"/>
      <c r="AM37" s="932"/>
    </row>
    <row r="38" spans="1:39" ht="14.25" customHeight="1">
      <c r="A38" s="67"/>
      <c r="B38" s="945"/>
      <c r="C38" s="946"/>
      <c r="D38" s="946"/>
      <c r="E38" s="946"/>
      <c r="F38" s="107" t="str">
        <f>宿泊者名簿!P7</f>
        <v/>
      </c>
      <c r="G38" s="79" t="s">
        <v>181</v>
      </c>
      <c r="H38" s="103" t="str">
        <f>宿泊者名簿!R7</f>
        <v/>
      </c>
      <c r="I38" s="80" t="s">
        <v>182</v>
      </c>
      <c r="J38" s="81" t="s">
        <v>191</v>
      </c>
      <c r="K38" s="1110">
        <f>COUNTIF(宿泊者名簿!$AA$22:$AA$421,2)</f>
        <v>0</v>
      </c>
      <c r="L38" s="1110"/>
      <c r="M38" s="1110"/>
      <c r="N38" s="82" t="s">
        <v>189</v>
      </c>
      <c r="O38" s="1116"/>
      <c r="P38" s="1117"/>
      <c r="Q38" s="1117"/>
      <c r="R38" s="1117"/>
      <c r="S38" s="1118"/>
      <c r="T38" s="1117"/>
      <c r="U38" s="1117"/>
      <c r="V38" s="1117"/>
      <c r="W38" s="1117"/>
      <c r="X38" s="1117"/>
      <c r="Y38" s="919"/>
      <c r="Z38" s="920"/>
      <c r="AA38" s="920"/>
      <c r="AB38" s="920"/>
      <c r="AC38" s="926"/>
      <c r="AD38" s="920"/>
      <c r="AE38" s="920"/>
      <c r="AF38" s="920"/>
      <c r="AG38" s="920"/>
      <c r="AH38" s="921"/>
      <c r="AI38" s="933"/>
      <c r="AJ38" s="933"/>
      <c r="AK38" s="933"/>
      <c r="AL38" s="933"/>
      <c r="AM38" s="934"/>
    </row>
    <row r="39" spans="1:39" ht="14.25" customHeight="1">
      <c r="A39" s="67"/>
      <c r="B39" s="948"/>
      <c r="C39" s="949"/>
      <c r="D39" s="949"/>
      <c r="E39" s="949"/>
      <c r="F39" s="957"/>
      <c r="G39" s="941"/>
      <c r="H39" s="941"/>
      <c r="I39" s="958"/>
      <c r="J39" s="83" t="s">
        <v>192</v>
      </c>
      <c r="K39" s="1111">
        <f>SUM(K37:M38)</f>
        <v>0</v>
      </c>
      <c r="L39" s="1111"/>
      <c r="M39" s="1111"/>
      <c r="N39" s="84" t="s">
        <v>189</v>
      </c>
      <c r="O39" s="1119"/>
      <c r="P39" s="1120"/>
      <c r="Q39" s="1120"/>
      <c r="R39" s="1120"/>
      <c r="S39" s="1121"/>
      <c r="T39" s="1120"/>
      <c r="U39" s="1120"/>
      <c r="V39" s="1120"/>
      <c r="W39" s="1120"/>
      <c r="X39" s="1120"/>
      <c r="Y39" s="927"/>
      <c r="Z39" s="928"/>
      <c r="AA39" s="928"/>
      <c r="AB39" s="928"/>
      <c r="AC39" s="929"/>
      <c r="AD39" s="928"/>
      <c r="AE39" s="928"/>
      <c r="AF39" s="928"/>
      <c r="AG39" s="928"/>
      <c r="AH39" s="930"/>
      <c r="AI39" s="935"/>
      <c r="AJ39" s="935"/>
      <c r="AK39" s="935"/>
      <c r="AL39" s="935"/>
      <c r="AM39" s="936"/>
    </row>
    <row r="40" spans="1:39" ht="14.25" customHeight="1">
      <c r="A40" s="67"/>
      <c r="B40" s="942" t="s">
        <v>216</v>
      </c>
      <c r="C40" s="943"/>
      <c r="D40" s="943"/>
      <c r="E40" s="943"/>
      <c r="F40" s="955"/>
      <c r="G40" s="954"/>
      <c r="H40" s="954"/>
      <c r="I40" s="956"/>
      <c r="J40" s="76" t="s">
        <v>188</v>
      </c>
      <c r="K40" s="1112">
        <f>COUNTIF(宿泊者名簿!$AB$22:$AB$421,1)</f>
        <v>0</v>
      </c>
      <c r="L40" s="1112"/>
      <c r="M40" s="1112"/>
      <c r="N40" s="77" t="s">
        <v>189</v>
      </c>
      <c r="O40" s="1113">
        <f>COUNTIF(宿泊者名簿!$H$22:$H$421,2)+COUNTIF(宿泊者名簿!$H$22:$H$421,3)</f>
        <v>0</v>
      </c>
      <c r="P40" s="1114"/>
      <c r="Q40" s="1114"/>
      <c r="R40" s="1114"/>
      <c r="S40" s="1115"/>
      <c r="T40" s="1114">
        <f>COUNTIF(宿泊者名簿!$H$22:$H$421,4)</f>
        <v>0</v>
      </c>
      <c r="U40" s="1114"/>
      <c r="V40" s="1114"/>
      <c r="W40" s="1114"/>
      <c r="X40" s="1114"/>
      <c r="Y40" s="916">
        <f>COUNTIF(宿泊者名簿!$H$22:$H$421,5)+COUNTIF(宿泊者名簿!$H$22:$H$421,6)+COUNTIF(宿泊者名簿!$H$22:$H$421,7)</f>
        <v>0</v>
      </c>
      <c r="Z40" s="917"/>
      <c r="AA40" s="917"/>
      <c r="AB40" s="917"/>
      <c r="AC40" s="925"/>
      <c r="AD40" s="917">
        <f>COUNTIF(宿泊者名簿!$H$22:$H$421,1)</f>
        <v>0</v>
      </c>
      <c r="AE40" s="917"/>
      <c r="AF40" s="917"/>
      <c r="AG40" s="917"/>
      <c r="AH40" s="918"/>
      <c r="AI40" s="931"/>
      <c r="AJ40" s="931"/>
      <c r="AK40" s="931"/>
      <c r="AL40" s="931"/>
      <c r="AM40" s="932"/>
    </row>
    <row r="41" spans="1:39" ht="14.25" customHeight="1">
      <c r="A41" s="67"/>
      <c r="B41" s="945"/>
      <c r="C41" s="946"/>
      <c r="D41" s="946"/>
      <c r="E41" s="946"/>
      <c r="F41" s="106" t="str">
        <f>宿泊者名簿!P8</f>
        <v/>
      </c>
      <c r="G41" s="104" t="s">
        <v>181</v>
      </c>
      <c r="H41" s="108" t="str">
        <f>宿泊者名簿!R8</f>
        <v/>
      </c>
      <c r="I41" s="105" t="s">
        <v>182</v>
      </c>
      <c r="J41" s="81" t="s">
        <v>191</v>
      </c>
      <c r="K41" s="1110">
        <f>COUNTIF(宿泊者名簿!$AB$22:$AB$421,2)</f>
        <v>0</v>
      </c>
      <c r="L41" s="1110"/>
      <c r="M41" s="1110"/>
      <c r="N41" s="82" t="s">
        <v>189</v>
      </c>
      <c r="O41" s="1116"/>
      <c r="P41" s="1117"/>
      <c r="Q41" s="1117"/>
      <c r="R41" s="1117"/>
      <c r="S41" s="1118"/>
      <c r="T41" s="1117"/>
      <c r="U41" s="1117"/>
      <c r="V41" s="1117"/>
      <c r="W41" s="1117"/>
      <c r="X41" s="1117"/>
      <c r="Y41" s="919"/>
      <c r="Z41" s="920"/>
      <c r="AA41" s="920"/>
      <c r="AB41" s="920"/>
      <c r="AC41" s="926"/>
      <c r="AD41" s="920"/>
      <c r="AE41" s="920"/>
      <c r="AF41" s="920"/>
      <c r="AG41" s="920"/>
      <c r="AH41" s="921"/>
      <c r="AI41" s="933"/>
      <c r="AJ41" s="933"/>
      <c r="AK41" s="933"/>
      <c r="AL41" s="933"/>
      <c r="AM41" s="934"/>
    </row>
    <row r="42" spans="1:39" ht="14.25" customHeight="1">
      <c r="A42" s="67"/>
      <c r="B42" s="948"/>
      <c r="C42" s="949"/>
      <c r="D42" s="949"/>
      <c r="E42" s="949"/>
      <c r="F42" s="938"/>
      <c r="G42" s="939"/>
      <c r="H42" s="939"/>
      <c r="I42" s="940"/>
      <c r="J42" s="83" t="s">
        <v>192</v>
      </c>
      <c r="K42" s="1111">
        <f>SUM(K40:M41)</f>
        <v>0</v>
      </c>
      <c r="L42" s="1111"/>
      <c r="M42" s="1111"/>
      <c r="N42" s="84" t="s">
        <v>189</v>
      </c>
      <c r="O42" s="1119"/>
      <c r="P42" s="1120"/>
      <c r="Q42" s="1120"/>
      <c r="R42" s="1120"/>
      <c r="S42" s="1121"/>
      <c r="T42" s="1120"/>
      <c r="U42" s="1120"/>
      <c r="V42" s="1120"/>
      <c r="W42" s="1120"/>
      <c r="X42" s="1120"/>
      <c r="Y42" s="927"/>
      <c r="Z42" s="928"/>
      <c r="AA42" s="928"/>
      <c r="AB42" s="928"/>
      <c r="AC42" s="929"/>
      <c r="AD42" s="928"/>
      <c r="AE42" s="928"/>
      <c r="AF42" s="928"/>
      <c r="AG42" s="928"/>
      <c r="AH42" s="930"/>
      <c r="AI42" s="935"/>
      <c r="AJ42" s="935"/>
      <c r="AK42" s="935"/>
      <c r="AL42" s="935"/>
      <c r="AM42" s="936"/>
    </row>
    <row r="43" spans="1:39" ht="14.25" customHeight="1">
      <c r="A43" s="67"/>
      <c r="B43" s="942" t="s">
        <v>216</v>
      </c>
      <c r="C43" s="943"/>
      <c r="D43" s="943"/>
      <c r="E43" s="943"/>
      <c r="F43" s="951"/>
      <c r="G43" s="952"/>
      <c r="H43" s="952"/>
      <c r="I43" s="953"/>
      <c r="J43" s="76" t="s">
        <v>188</v>
      </c>
      <c r="K43" s="1112">
        <f>COUNTIF(宿泊者名簿!$AC$22:$AC$421,1)</f>
        <v>0</v>
      </c>
      <c r="L43" s="1112"/>
      <c r="M43" s="1112"/>
      <c r="N43" s="77" t="s">
        <v>189</v>
      </c>
      <c r="O43" s="1113">
        <f>COUNTIF(宿泊者名簿!$I$22:$I$421,2)+COUNTIF(宿泊者名簿!$I$22:$I$421,3)</f>
        <v>0</v>
      </c>
      <c r="P43" s="1114"/>
      <c r="Q43" s="1114"/>
      <c r="R43" s="1114"/>
      <c r="S43" s="1115"/>
      <c r="T43" s="1114">
        <f>COUNTIF(宿泊者名簿!$I$22:$I$421,4)</f>
        <v>0</v>
      </c>
      <c r="U43" s="1114"/>
      <c r="V43" s="1114"/>
      <c r="W43" s="1114"/>
      <c r="X43" s="1114"/>
      <c r="Y43" s="916">
        <f>COUNTIF(宿泊者名簿!$I$22:$I$421,5)+COUNTIF(宿泊者名簿!$I$22:$I$421,6)+COUNTIF(宿泊者名簿!$I$22:$I$421,7)</f>
        <v>0</v>
      </c>
      <c r="Z43" s="917"/>
      <c r="AA43" s="917"/>
      <c r="AB43" s="917"/>
      <c r="AC43" s="925"/>
      <c r="AD43" s="917">
        <f>COUNTIF(宿泊者名簿!$I$22:$I$421,1)</f>
        <v>0</v>
      </c>
      <c r="AE43" s="917"/>
      <c r="AF43" s="917"/>
      <c r="AG43" s="917"/>
      <c r="AH43" s="918"/>
      <c r="AI43" s="931"/>
      <c r="AJ43" s="931"/>
      <c r="AK43" s="931"/>
      <c r="AL43" s="931"/>
      <c r="AM43" s="932"/>
    </row>
    <row r="44" spans="1:39" ht="14.25" customHeight="1">
      <c r="A44" s="67"/>
      <c r="B44" s="945"/>
      <c r="C44" s="946"/>
      <c r="D44" s="946"/>
      <c r="E44" s="946"/>
      <c r="F44" s="106" t="str">
        <f>宿泊者名簿!P9</f>
        <v/>
      </c>
      <c r="G44" s="104" t="s">
        <v>181</v>
      </c>
      <c r="H44" s="108" t="str">
        <f>宿泊者名簿!R9</f>
        <v/>
      </c>
      <c r="I44" s="105" t="s">
        <v>182</v>
      </c>
      <c r="J44" s="81" t="s">
        <v>191</v>
      </c>
      <c r="K44" s="1110">
        <f>COUNTIF(宿泊者名簿!$AC$22:$AC$421,2)</f>
        <v>0</v>
      </c>
      <c r="L44" s="1110"/>
      <c r="M44" s="1110"/>
      <c r="N44" s="82" t="s">
        <v>189</v>
      </c>
      <c r="O44" s="1116"/>
      <c r="P44" s="1117"/>
      <c r="Q44" s="1117"/>
      <c r="R44" s="1117"/>
      <c r="S44" s="1118"/>
      <c r="T44" s="1117"/>
      <c r="U44" s="1117"/>
      <c r="V44" s="1117"/>
      <c r="W44" s="1117"/>
      <c r="X44" s="1117"/>
      <c r="Y44" s="919"/>
      <c r="Z44" s="920"/>
      <c r="AA44" s="920"/>
      <c r="AB44" s="920"/>
      <c r="AC44" s="926"/>
      <c r="AD44" s="920"/>
      <c r="AE44" s="920"/>
      <c r="AF44" s="920"/>
      <c r="AG44" s="920"/>
      <c r="AH44" s="921"/>
      <c r="AI44" s="933"/>
      <c r="AJ44" s="933"/>
      <c r="AK44" s="933"/>
      <c r="AL44" s="933"/>
      <c r="AM44" s="934"/>
    </row>
    <row r="45" spans="1:39" ht="14.25" customHeight="1">
      <c r="A45" s="67"/>
      <c r="B45" s="948"/>
      <c r="C45" s="949"/>
      <c r="D45" s="949"/>
      <c r="E45" s="949"/>
      <c r="F45" s="938"/>
      <c r="G45" s="939"/>
      <c r="H45" s="939"/>
      <c r="I45" s="940"/>
      <c r="J45" s="83" t="s">
        <v>192</v>
      </c>
      <c r="K45" s="1111">
        <f>SUM(K43:M44)</f>
        <v>0</v>
      </c>
      <c r="L45" s="1111"/>
      <c r="M45" s="1111"/>
      <c r="N45" s="84" t="s">
        <v>189</v>
      </c>
      <c r="O45" s="1119"/>
      <c r="P45" s="1120"/>
      <c r="Q45" s="1120"/>
      <c r="R45" s="1120"/>
      <c r="S45" s="1121"/>
      <c r="T45" s="1120"/>
      <c r="U45" s="1120"/>
      <c r="V45" s="1120"/>
      <c r="W45" s="1120"/>
      <c r="X45" s="1120"/>
      <c r="Y45" s="927"/>
      <c r="Z45" s="928"/>
      <c r="AA45" s="928"/>
      <c r="AB45" s="928"/>
      <c r="AC45" s="929"/>
      <c r="AD45" s="928"/>
      <c r="AE45" s="928"/>
      <c r="AF45" s="928"/>
      <c r="AG45" s="928"/>
      <c r="AH45" s="930"/>
      <c r="AI45" s="935"/>
      <c r="AJ45" s="935"/>
      <c r="AK45" s="935"/>
      <c r="AL45" s="935"/>
      <c r="AM45" s="936"/>
    </row>
    <row r="46" spans="1:39" ht="12" customHeight="1">
      <c r="A46" s="67"/>
      <c r="B46" s="911" t="s">
        <v>205</v>
      </c>
      <c r="C46" s="912"/>
      <c r="D46" s="912"/>
      <c r="E46" s="912"/>
      <c r="F46" s="912"/>
      <c r="G46" s="912"/>
      <c r="H46" s="912"/>
      <c r="I46" s="912"/>
      <c r="J46" s="1122" t="str">
        <f>宿泊者名簿!J12&amp;" "&amp;宿泊者名簿!L12&amp;" "&amp;宿泊者名簿!N12&amp;" "&amp;宿泊者名簿!P12&amp;" "&amp;宿泊者名簿!R12</f>
        <v xml:space="preserve">    </v>
      </c>
      <c r="K46" s="1123"/>
      <c r="L46" s="1123"/>
      <c r="M46" s="1123"/>
      <c r="N46" s="1123"/>
      <c r="O46" s="1123"/>
      <c r="P46" s="1123"/>
      <c r="Q46" s="1123"/>
      <c r="R46" s="1123"/>
      <c r="S46" s="1123"/>
      <c r="T46" s="1123"/>
      <c r="U46" s="1123"/>
      <c r="V46" s="1123"/>
      <c r="W46" s="1123"/>
      <c r="X46" s="1123"/>
      <c r="Y46" s="1123"/>
      <c r="Z46" s="1123"/>
      <c r="AA46" s="1123"/>
      <c r="AB46" s="1123"/>
      <c r="AC46" s="1123"/>
      <c r="AD46" s="1123"/>
      <c r="AE46" s="1123"/>
      <c r="AF46" s="1123"/>
      <c r="AG46" s="1123"/>
      <c r="AH46" s="1124"/>
      <c r="AI46" s="899" t="s">
        <v>206</v>
      </c>
      <c r="AJ46" s="899"/>
      <c r="AK46" s="899"/>
      <c r="AL46" s="899"/>
      <c r="AM46" s="900"/>
    </row>
    <row r="47" spans="1:39" ht="12" customHeight="1">
      <c r="A47" s="67"/>
      <c r="B47" s="913"/>
      <c r="C47" s="912"/>
      <c r="D47" s="912"/>
      <c r="E47" s="912"/>
      <c r="F47" s="912"/>
      <c r="G47" s="912"/>
      <c r="H47" s="912"/>
      <c r="I47" s="912"/>
      <c r="J47" s="1125"/>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c r="AH47" s="1127"/>
      <c r="AI47" s="901"/>
      <c r="AJ47" s="901"/>
      <c r="AK47" s="901"/>
      <c r="AL47" s="901"/>
      <c r="AM47" s="902"/>
    </row>
    <row r="48" spans="1:39" ht="12" customHeight="1" thickBot="1">
      <c r="A48" s="67"/>
      <c r="B48" s="914"/>
      <c r="C48" s="915"/>
      <c r="D48" s="915"/>
      <c r="E48" s="915"/>
      <c r="F48" s="915"/>
      <c r="G48" s="915"/>
      <c r="H48" s="915"/>
      <c r="I48" s="915"/>
      <c r="J48" s="1128"/>
      <c r="K48" s="1129"/>
      <c r="L48" s="1129"/>
      <c r="M48" s="1129"/>
      <c r="N48" s="1129"/>
      <c r="O48" s="1129"/>
      <c r="P48" s="1129"/>
      <c r="Q48" s="1129"/>
      <c r="R48" s="1129"/>
      <c r="S48" s="1129"/>
      <c r="T48" s="1129"/>
      <c r="U48" s="1129"/>
      <c r="V48" s="1129"/>
      <c r="W48" s="1129"/>
      <c r="X48" s="1129"/>
      <c r="Y48" s="1129"/>
      <c r="Z48" s="1129"/>
      <c r="AA48" s="1129"/>
      <c r="AB48" s="1129"/>
      <c r="AC48" s="1129"/>
      <c r="AD48" s="1129"/>
      <c r="AE48" s="1129"/>
      <c r="AF48" s="1129"/>
      <c r="AG48" s="1129"/>
      <c r="AH48" s="1130"/>
      <c r="AI48" s="903"/>
      <c r="AJ48" s="903"/>
      <c r="AK48" s="903"/>
      <c r="AL48" s="903"/>
      <c r="AM48" s="904"/>
    </row>
    <row r="49" spans="1:39" ht="30.75" customHeight="1">
      <c r="A49" s="60"/>
      <c r="B49" s="979" t="s">
        <v>207</v>
      </c>
      <c r="C49" s="949"/>
      <c r="D49" s="949"/>
      <c r="E49" s="949"/>
      <c r="F49" s="949"/>
      <c r="G49" s="949"/>
      <c r="H49" s="949"/>
      <c r="I49" s="950"/>
      <c r="J49" s="908"/>
      <c r="K49" s="908"/>
      <c r="L49" s="908"/>
      <c r="M49" s="908"/>
      <c r="N49" s="908"/>
      <c r="O49" s="908"/>
      <c r="P49" s="908"/>
      <c r="Q49" s="908"/>
      <c r="R49" s="908"/>
      <c r="S49" s="908"/>
      <c r="T49" s="908"/>
      <c r="U49" s="908"/>
      <c r="V49" s="908"/>
      <c r="W49" s="908"/>
      <c r="X49" s="908"/>
      <c r="Y49" s="908"/>
      <c r="Z49" s="908"/>
      <c r="AA49" s="908"/>
      <c r="AB49" s="908"/>
      <c r="AC49" s="908"/>
      <c r="AD49" s="908"/>
      <c r="AE49" s="908"/>
      <c r="AF49" s="908"/>
      <c r="AG49" s="908"/>
      <c r="AH49" s="908"/>
      <c r="AI49" s="908"/>
      <c r="AJ49" s="908"/>
      <c r="AK49" s="908"/>
      <c r="AL49" s="908"/>
      <c r="AM49" s="908"/>
    </row>
    <row r="50" spans="1:39" ht="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Y37:AC39"/>
    <mergeCell ref="AD37:AH39"/>
    <mergeCell ref="AI37:AM39"/>
    <mergeCell ref="K38:M38"/>
    <mergeCell ref="F39:I39"/>
    <mergeCell ref="K39:M39"/>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B30:E33"/>
    <mergeCell ref="F30:I33"/>
    <mergeCell ref="J30:N33"/>
    <mergeCell ref="O30:AH31"/>
    <mergeCell ref="AI30:AM33"/>
    <mergeCell ref="O32:S33"/>
    <mergeCell ref="T32:X33"/>
    <mergeCell ref="Y32:AC33"/>
    <mergeCell ref="AD32:AH33"/>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s>
  <phoneticPr fontId="1"/>
  <conditionalFormatting sqref="F38">
    <cfRule type="expression" dxfId="17" priority="8" stopIfTrue="1">
      <formula>AND(#REF!="",#REF!="")</formula>
    </cfRule>
  </conditionalFormatting>
  <conditionalFormatting sqref="F41">
    <cfRule type="expression" dxfId="16" priority="6">
      <formula>AND(#REF!="",#REF!="")</formula>
    </cfRule>
  </conditionalFormatting>
  <conditionalFormatting sqref="F44">
    <cfRule type="expression" dxfId="15" priority="4">
      <formula>AND(#REF!="",#REF!="")</formula>
    </cfRule>
  </conditionalFormatting>
  <conditionalFormatting sqref="H38">
    <cfRule type="expression" dxfId="14" priority="7">
      <formula>AND(#REF!="",#REF!="")</formula>
    </cfRule>
  </conditionalFormatting>
  <conditionalFormatting sqref="H41">
    <cfRule type="expression" dxfId="13" priority="5">
      <formula>AND(#REF!="",#REF!="")</formula>
    </cfRule>
  </conditionalFormatting>
  <conditionalFormatting sqref="H44">
    <cfRule type="expression" dxfId="1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4"/>
  <sheetViews>
    <sheetView zoomScale="85" zoomScaleNormal="85" workbookViewId="0">
      <selection activeCell="E1" sqref="E1"/>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26">
        <f>宿泊者名簿!$W$10</f>
        <v>43069</v>
      </c>
      <c r="F1" s="226">
        <f>E1+宿泊者名簿!M9</f>
        <v>43069</v>
      </c>
      <c r="G1" s="226" t="str">
        <f>IF(宿泊者名簿!$M$9&gt;1,$E$1+1,"")</f>
        <v/>
      </c>
      <c r="H1" s="226" t="str">
        <f>IF(宿泊者名簿!$M$9&gt;2,$E$1+2,"")</f>
        <v/>
      </c>
      <c r="I1" s="22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314</v>
      </c>
      <c r="E3">
        <f>宿泊者名簿!A7</f>
        <v>0</v>
      </c>
      <c r="F3">
        <f>$E$3</f>
        <v>0</v>
      </c>
      <c r="G3">
        <f>$E$3</f>
        <v>0</v>
      </c>
      <c r="H3">
        <f>$E$3</f>
        <v>0</v>
      </c>
      <c r="I3">
        <f>$E$3</f>
        <v>0</v>
      </c>
    </row>
    <row r="4" spans="1:9">
      <c r="A4">
        <v>4</v>
      </c>
      <c r="D4" t="s">
        <v>315</v>
      </c>
      <c r="E4">
        <f>宿泊者名簿!B16</f>
        <v>0</v>
      </c>
      <c r="F4">
        <f>$E$4</f>
        <v>0</v>
      </c>
      <c r="G4">
        <f>$E$4</f>
        <v>0</v>
      </c>
      <c r="H4">
        <f>$E$4</f>
        <v>0</v>
      </c>
      <c r="I4">
        <f>$E$4</f>
        <v>0</v>
      </c>
    </row>
    <row r="5" spans="1:9">
      <c r="A5">
        <v>5</v>
      </c>
      <c r="B5" s="898" t="s">
        <v>309</v>
      </c>
      <c r="C5" s="861" t="s">
        <v>303</v>
      </c>
      <c r="D5" s="216" t="s">
        <v>304</v>
      </c>
      <c r="E5" s="217" t="str">
        <f>CONCATENATE("朝食（食堂）",活動申込!$F$7,活動申込!$G$7,活動申込!$H$7,活動申込!$K$7)</f>
        <v>朝食（食堂）</v>
      </c>
      <c r="F5" s="217" t="str">
        <f>CONCATENATE("朝食（食堂）",活動申込!$U$7,活動申込!$V$7,活動申込!$W$7,活動申込!$Z$7)</f>
        <v>朝食（食堂）～テーブル</v>
      </c>
      <c r="G5" s="217" t="str">
        <f>CONCATENATE("朝食（食堂）",活動申込!$AJ$7,活動申込!$AK$7,活動申込!$AL$7,活動申込!$AO$7)</f>
        <v>朝食（食堂）～テーブル</v>
      </c>
      <c r="H5" s="217" t="str">
        <f>CONCATENATE("朝食（食堂）",活動申込!$AY$7,活動申込!$AZ$7,活動申込!$BA$7,活動申込!$BD$7)</f>
        <v>朝食（食堂）～テーブル</v>
      </c>
      <c r="I5" s="217" t="str">
        <f>CONCATENATE("朝食（食堂）",活動申込!$BN$7,活動申込!$BO$7,活動申込!$BP$7,活動申込!$BS$7)</f>
        <v>朝食（食堂）～テーブル</v>
      </c>
    </row>
    <row r="6" spans="1:9">
      <c r="A6">
        <v>6</v>
      </c>
      <c r="B6" s="898"/>
      <c r="C6" s="861"/>
      <c r="D6" s="216" t="s">
        <v>305</v>
      </c>
      <c r="E6" s="217" t="str">
        <f>CONCATENATE("昼食（食堂）",活動申込!$F$8,活動申込!$G$8,活動申込!$H$8,活動申込!$K$8)</f>
        <v>昼食（食堂）～テーブル</v>
      </c>
      <c r="F6" s="217" t="str">
        <f>CONCATENATE("昼食（食堂）",活動申込!$U$8,活動申込!$V$8,活動申込!$W$8,活動申込!$Z$8)</f>
        <v>昼食（食堂）～テーブル</v>
      </c>
      <c r="G6" s="217" t="str">
        <f>CONCATENATE("昼食（食堂）",活動申込!$AJ$8,活動申込!$AK$8,活動申込!$AL$8,活動申込!$AO$8)</f>
        <v>昼食（食堂）～テーブル</v>
      </c>
      <c r="H6" s="217" t="str">
        <f>CONCATENATE("昼食（食堂）",活動申込!$AY$8,活動申込!$AZ$8,活動申込!$BA$8,活動申込!$BD$8)</f>
        <v>昼食（食堂）～テーブル</v>
      </c>
      <c r="I6" s="217" t="str">
        <f>CONCATENATE("昼食（食堂）",活動申込!$BN$8,活動申込!$BO$8,活動申込!$BP$8,活動申込!$BS$8)</f>
        <v>昼食（食堂）～テーブル</v>
      </c>
    </row>
    <row r="7" spans="1:9">
      <c r="A7">
        <v>7</v>
      </c>
      <c r="B7" s="898"/>
      <c r="C7" s="861"/>
      <c r="D7" s="216" t="s">
        <v>306</v>
      </c>
      <c r="E7" s="217" t="str">
        <f>CONCATENATE("夕食（食堂）",活動申込!$F$9,活動申込!$G$9,活動申込!$H$9,活動申込!$K$9)</f>
        <v>夕食（食堂）～テーブル</v>
      </c>
      <c r="F7" s="217" t="str">
        <f>CONCATENATE("夕食（食堂）",活動申込!$U$9,活動申込!$V$9,活動申込!$W$9,活動申込!$Z$9)</f>
        <v>夕食（食堂）～テーブル</v>
      </c>
      <c r="G7" s="217" t="str">
        <f>CONCATENATE("夕食（食堂）",活動申込!$AJ$9,活動申込!$AK$9,活動申込!$AL$9,活動申込!$AO$9)</f>
        <v>夕食（食堂）～テーブル</v>
      </c>
      <c r="H7" s="217" t="str">
        <f>CONCATENATE("夕食（食堂）",活動申込!$AY$9,活動申込!$AZ$9,活動申込!$BA$9,活動申込!$BD$9)</f>
        <v>夕食（食堂）～テーブル</v>
      </c>
      <c r="I7" s="217" t="str">
        <f>CONCATENATE("夕食（食堂）",活動申込!$BN$9,活動申込!$BO$9,活動申込!$BP$9,活動申込!$BS$9)</f>
        <v>夕食（食堂）～テーブル</v>
      </c>
    </row>
    <row r="8" spans="1:9">
      <c r="A8">
        <v>8</v>
      </c>
      <c r="B8" s="898"/>
      <c r="C8" s="861"/>
      <c r="D8" s="216" t="s">
        <v>381</v>
      </c>
      <c r="E8" s="217" t="str">
        <f>"補食 "&amp;活動申込!$C$10</f>
        <v xml:space="preserve">補食 </v>
      </c>
      <c r="F8" s="217" t="str">
        <f>"補食 "&amp;活動申込!$R$10</f>
        <v xml:space="preserve">補食 </v>
      </c>
      <c r="G8" s="217" t="str">
        <f>"補食 "&amp;活動申込!$AG$10</f>
        <v xml:space="preserve">補食 </v>
      </c>
      <c r="H8" s="217" t="str">
        <f>"補食 "&amp;活動申込!$AV$10</f>
        <v xml:space="preserve">補食 </v>
      </c>
      <c r="I8" s="217" t="str">
        <f>"補食 "&amp;活動申込!$BK$10</f>
        <v xml:space="preserve">補食 </v>
      </c>
    </row>
    <row r="9" spans="1:9">
      <c r="A9">
        <v>9</v>
      </c>
      <c r="B9" s="898"/>
      <c r="C9" s="23"/>
      <c r="D9" s="216"/>
      <c r="E9" s="217" t="str">
        <f>"飲料 "&amp;活動申込!$C$11</f>
        <v xml:space="preserve">飲料 </v>
      </c>
      <c r="F9" s="217" t="str">
        <f>"飲料 "&amp;活動申込!$R$11</f>
        <v xml:space="preserve">飲料 </v>
      </c>
      <c r="G9" s="217" t="str">
        <f>"飲料 "&amp;活動申込!$AG$11</f>
        <v xml:space="preserve">飲料 </v>
      </c>
      <c r="H9" s="217" t="str">
        <f>"飲料 "&amp;活動申込!$AV$11</f>
        <v xml:space="preserve">飲料 </v>
      </c>
      <c r="I9" s="217" t="str">
        <f>"飲料 "&amp;活動申込!$BK$11</f>
        <v xml:space="preserve">飲料 </v>
      </c>
    </row>
    <row r="10" spans="1:9">
      <c r="A10">
        <v>10</v>
      </c>
      <c r="B10" s="898"/>
      <c r="C10" s="23" t="s">
        <v>301</v>
      </c>
      <c r="D10" s="216" t="s">
        <v>266</v>
      </c>
      <c r="E10" s="1" t="str">
        <f>活動申込!J12&amp;" "&amp;活動申込!J13</f>
        <v xml:space="preserve"> </v>
      </c>
      <c r="F10" s="229"/>
      <c r="G10" s="229"/>
      <c r="H10" s="229"/>
      <c r="I10" s="229"/>
    </row>
    <row r="11" spans="1:9">
      <c r="A11">
        <v>11</v>
      </c>
      <c r="B11" s="898"/>
      <c r="C11" s="861" t="s">
        <v>117</v>
      </c>
      <c r="D11" s="216" t="s">
        <v>62</v>
      </c>
      <c r="E11" s="217" t="str">
        <f>CONCATENATE("入所","　　荷物置き場：",IF(活動申込!J15="","必要なし",活動申込!J15))</f>
        <v>入所　　荷物置き場：必要なし</v>
      </c>
      <c r="F11" s="229"/>
      <c r="G11" s="229"/>
      <c r="H11" s="229"/>
      <c r="I11" s="229"/>
    </row>
    <row r="12" spans="1:9">
      <c r="A12">
        <v>12</v>
      </c>
      <c r="B12" s="898"/>
      <c r="C12" s="861"/>
      <c r="D12" s="216" t="s">
        <v>0</v>
      </c>
      <c r="E12" s="224" t="str">
        <f>"入所式 : "&amp;IF(活動申込!$D$15="","なし",活動申込!$D$15)&amp;"　　入室"</f>
        <v>入所式 : なし　　入室</v>
      </c>
      <c r="F12" s="229"/>
      <c r="G12" s="229"/>
      <c r="H12" s="229"/>
      <c r="I12" s="229"/>
    </row>
    <row r="13" spans="1:9" ht="27">
      <c r="A13">
        <v>13</v>
      </c>
      <c r="B13" s="898"/>
      <c r="C13" s="861"/>
      <c r="D13" s="222" t="s">
        <v>312</v>
      </c>
      <c r="E13" s="217" t="str">
        <f>IF(活動申込!D13="","","バス"&amp;活動申込!D13&amp;"台 "&amp;TEXT(活動申込!C13,"h:mm"&amp;"着予定 "))&amp;IF(活動申込!D14="","","乗用車"&amp;活動申込!D14&amp;"台 "&amp;TEXT(活動申込!C14,"h:mm"&amp;"着予定"))</f>
        <v/>
      </c>
      <c r="F13" s="229"/>
      <c r="G13" s="229"/>
      <c r="H13" s="229"/>
      <c r="I13" s="229"/>
    </row>
    <row r="14" spans="1:9">
      <c r="A14">
        <v>14</v>
      </c>
      <c r="B14" s="898"/>
      <c r="C14" s="861" t="s">
        <v>118</v>
      </c>
      <c r="D14" s="216" t="s">
        <v>76</v>
      </c>
      <c r="E14" s="229"/>
      <c r="F14" s="1" t="s">
        <v>317</v>
      </c>
      <c r="G14" s="229"/>
      <c r="H14" s="229"/>
      <c r="I14" s="229"/>
    </row>
    <row r="15" spans="1:9">
      <c r="A15">
        <v>15</v>
      </c>
      <c r="B15" s="898"/>
      <c r="C15" s="861"/>
      <c r="D15" s="228" t="s">
        <v>316</v>
      </c>
      <c r="E15" s="229"/>
      <c r="F15" s="231" t="str">
        <f>CONCATENATE("退所","　荷物置き場："," ",IF(活動申込!Y15="","必要なし",活動申込!Y15))&amp;IF(活動申込!S13="","","  バス"&amp;活動申込!S13&amp;活動申込!T13)&amp;IF(活動申込!S14="","","  乗用車"&amp;活動申込!S14&amp;活動申込!T14)</f>
        <v>退所　荷物置き場： 必要なし</v>
      </c>
      <c r="G15" s="229"/>
      <c r="H15" s="229"/>
      <c r="I15" s="229"/>
    </row>
    <row r="16" spans="1:9">
      <c r="A16">
        <v>16</v>
      </c>
      <c r="B16" s="898"/>
      <c r="C16" s="861"/>
      <c r="D16" s="216" t="s">
        <v>1</v>
      </c>
      <c r="E16" s="229"/>
      <c r="F16" s="1" t="str">
        <f>"退所式 : "&amp;IF(活動申込!$S$15="","なし",活動申込!$S$15)</f>
        <v>退所式 : なし</v>
      </c>
      <c r="G16" s="229"/>
      <c r="H16" s="229"/>
      <c r="I16" s="229"/>
    </row>
    <row r="17" spans="1:9">
      <c r="A17">
        <v>17</v>
      </c>
      <c r="B17" s="898"/>
      <c r="C17" s="23" t="s">
        <v>302</v>
      </c>
      <c r="D17" s="216" t="s">
        <v>318</v>
      </c>
      <c r="E17" s="229"/>
      <c r="F17" s="1" t="str">
        <f>IF(活動申込!Y12="","",活動申込!Y12&amp;" "&amp;活動申込!Y13)</f>
        <v/>
      </c>
      <c r="G17" s="229"/>
      <c r="H17" s="229"/>
      <c r="I17" s="229"/>
    </row>
    <row r="18" spans="1:9">
      <c r="A18">
        <v>18</v>
      </c>
      <c r="B18" s="898"/>
      <c r="C18" s="23" t="s">
        <v>115</v>
      </c>
      <c r="D18" s="21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898"/>
      <c r="C19" s="227" t="s">
        <v>55</v>
      </c>
      <c r="D19" s="216" t="s">
        <v>313</v>
      </c>
      <c r="E19" s="217" t="str">
        <f>"入浴　"&amp;IF(OR(活動申込!$F$18=TRUE,活動申込!$F$19=TRUE),"かたくり","")&amp;IF(OR(活動申込!$G$18=TRUE,活動申込!$G$19=TRUE)," あじさい","")&amp;IF(OR(活動申込!$J$18=TRUE,活動申込!$J$19=TRUE)," やまゆり","")&amp;IF(OR(活動申込!$M$18=TRUE,活動申込!$M$19=TRUE)," はぎ","")</f>
        <v>入浴　</v>
      </c>
      <c r="F19" s="22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898"/>
      <c r="C20" s="861" t="s">
        <v>308</v>
      </c>
      <c r="D20" s="216" t="s">
        <v>75</v>
      </c>
      <c r="E20" s="240"/>
      <c r="F20" s="231" t="s">
        <v>75</v>
      </c>
      <c r="G20" s="231" t="s">
        <v>75</v>
      </c>
      <c r="H20" s="231" t="s">
        <v>75</v>
      </c>
      <c r="I20" s="231" t="s">
        <v>75</v>
      </c>
    </row>
    <row r="21" spans="1:9">
      <c r="A21">
        <v>21</v>
      </c>
      <c r="B21" s="898"/>
      <c r="C21" s="861"/>
      <c r="D21" s="216" t="s">
        <v>74</v>
      </c>
      <c r="E21" s="231" t="s">
        <v>74</v>
      </c>
      <c r="F21" s="240"/>
      <c r="G21" s="231" t="s">
        <v>74</v>
      </c>
      <c r="H21" s="231" t="s">
        <v>74</v>
      </c>
      <c r="I21" s="231" t="s">
        <v>74</v>
      </c>
    </row>
    <row r="22" spans="1:9">
      <c r="A22">
        <v>22</v>
      </c>
      <c r="B22" s="898"/>
      <c r="C22" s="861" t="s">
        <v>294</v>
      </c>
      <c r="D22" s="216" t="s">
        <v>296</v>
      </c>
      <c r="E22" s="217" t="str">
        <f>IF(活動申込!$C$20=0,"",$D$22&amp;"づくり"&amp;活動申込!$D$20&amp;"セット 炊事場"&amp;" "&amp;活動申込!$G$20)</f>
        <v/>
      </c>
      <c r="F22" s="217" t="str">
        <f>IF(活動申込!$R$20=0,"",$D$22&amp;"づくり"&amp;活動申込!$S$20&amp;"セット "&amp;" "&amp;活動申込!$V$20)</f>
        <v xml:space="preserve">カレーづくりセット  </v>
      </c>
      <c r="G22" s="217" t="str">
        <f>IF(活動申込!$AG$20=0,"",$D$22&amp;"づくり"&amp;活動申込!$AH$20&amp;"セット "&amp;" "&amp;活動申込!$AK$20)</f>
        <v xml:space="preserve">カレーづくりセット  </v>
      </c>
      <c r="H22" s="217" t="str">
        <f>IF(活動申込!$AV$20=0,"",$D$22&amp;"づくり"&amp;活動申込!$AW$20&amp;"セット "&amp;" "&amp;活動申込!$AZ$20)</f>
        <v xml:space="preserve">カレーづくりセット  </v>
      </c>
      <c r="I22" s="217" t="str">
        <f>IF(活動申込!$BK$20=0,"",$D$22&amp;"づくり"&amp;活動申込!$BL$20&amp;"セット "&amp;" "&amp;活動申込!$BO$20)</f>
        <v xml:space="preserve">カレーづくりセット  </v>
      </c>
    </row>
    <row r="23" spans="1:9">
      <c r="A23">
        <v>23</v>
      </c>
      <c r="B23" s="898"/>
      <c r="C23" s="861"/>
      <c r="D23" s="216" t="s">
        <v>372</v>
      </c>
      <c r="E23" s="217" t="str">
        <f>IF(活動申込!$C$21=0,"",$D$23&amp;"づくり"&amp;活動申込!$D$21&amp;"セット 炊事場"&amp;" "&amp;活動申込!$G$21)</f>
        <v/>
      </c>
      <c r="F23" s="217" t="str">
        <f>IF(活動申込!$R$21=0,"",$D$23&amp;"づくり"&amp;活動申込!$S$21&amp;"セット "&amp;" "&amp;活動申込!$V$21)</f>
        <v xml:space="preserve">ピザづくりセット  </v>
      </c>
      <c r="G23" s="217" t="str">
        <f>IF(活動申込!$AG$21=0,"",$D$23&amp;"づくり"&amp;活動申込!$AH$21&amp;"セット "&amp;" "&amp;活動申込!$AK$21)</f>
        <v xml:space="preserve">ピザづくりセット  </v>
      </c>
      <c r="H23" s="217" t="str">
        <f>IF(活動申込!$AV$21=0,"",$D$23&amp;"づくり"&amp;活動申込!$AW$21&amp;"セット "&amp;" "&amp;活動申込!$AZ$21)</f>
        <v xml:space="preserve">ピザづくりセット  </v>
      </c>
      <c r="I23" s="217" t="str">
        <f>IF(活動申込!$BK$21=0,"",$D$23&amp;"づくり"&amp;活動申込!$BL$21&amp;"セット "&amp;" "&amp;活動申込!$BO$21)</f>
        <v xml:space="preserve">ピザづくりセット  </v>
      </c>
    </row>
    <row r="24" spans="1:9">
      <c r="A24">
        <v>24</v>
      </c>
      <c r="B24" s="898"/>
      <c r="C24" s="861"/>
      <c r="D24" s="216" t="s">
        <v>295</v>
      </c>
      <c r="E24" s="217" t="str">
        <f>IF(活動申込!$C$22=0,"",$D$24&amp;"づくり"&amp;活動申込!$D$22&amp;"セット 炊事場"&amp;" "&amp;活動申込!$G$22)</f>
        <v/>
      </c>
      <c r="F24" s="217" t="str">
        <f>IF(活動申込!$R$22=0,"",$D$24&amp;"づくり"&amp;活動申込!$S$22&amp;"セット "&amp;" "&amp;活動申込!$V$22)</f>
        <v xml:space="preserve">まんじゅうづくりセット  </v>
      </c>
      <c r="G24" s="217" t="str">
        <f>IF(活動申込!$AG$22=0,"",$D$24&amp;"づくり"&amp;活動申込!$AH$22&amp;"セット "&amp;" "&amp;活動申込!$AK$22)</f>
        <v xml:space="preserve">まんじゅうづくりセット  </v>
      </c>
      <c r="H24" s="217" t="str">
        <f>IF(活動申込!$AV$22=0,"",$D$24&amp;"づくり"&amp;活動申込!$AW$22&amp;"セット "&amp;" "&amp;活動申込!$AZ$22)</f>
        <v xml:space="preserve">まんじゅうづくりセット  </v>
      </c>
      <c r="I24" s="217" t="str">
        <f>IF(活動申込!$BK$22=0,"",$D$24&amp;"づくり"&amp;活動申込!$BL$22&amp;"セット "&amp;" "&amp;活動申込!$BO$22)</f>
        <v xml:space="preserve">まんじゅうづくりセット  </v>
      </c>
    </row>
    <row r="25" spans="1:9">
      <c r="A25">
        <v>25</v>
      </c>
      <c r="B25" s="898"/>
      <c r="C25" s="861"/>
      <c r="D25" s="216" t="s">
        <v>297</v>
      </c>
      <c r="E25" s="217" t="str">
        <f>IF(活動申込!$C$23=0,"",$D$25&amp;"づくり"&amp;活動申込!$D$23&amp;"セット"&amp;" "&amp;活動申込!$G$23)</f>
        <v/>
      </c>
      <c r="F25" s="217" t="str">
        <f>IF(活動申込!$R$23=0,"",$D$25&amp;"づくり"&amp;活動申込!$S$23&amp;"セット "&amp;" "&amp;活動申込!$V$23)</f>
        <v xml:space="preserve">うどんづくりセット  </v>
      </c>
      <c r="G25" s="217" t="str">
        <f>IF(活動申込!$AG$23=0,"",$D$25&amp;"づくり"&amp;活動申込!$AH$23&amp;"セット "&amp;" "&amp;活動申込!$AK$23)</f>
        <v xml:space="preserve">うどんづくりセット  </v>
      </c>
      <c r="H25" s="217" t="str">
        <f>IF(活動申込!$AV$23=0,"",$D$25&amp;"づくり"&amp;活動申込!$AW$23&amp;"セット "&amp;" "&amp;活動申込!$AZ$23)</f>
        <v xml:space="preserve">うどんづくりセット  </v>
      </c>
      <c r="I25" s="217" t="str">
        <f>IF(活動申込!$BK$23=0,"",$D$25&amp;"づくり"&amp;活動申込!$BL$23&amp;"セット "&amp;" "&amp;活動申込!$BO$23)</f>
        <v xml:space="preserve">うどんづくりセット  </v>
      </c>
    </row>
    <row r="26" spans="1:9">
      <c r="A26">
        <v>26</v>
      </c>
      <c r="B26" s="898"/>
      <c r="C26" s="861" t="s">
        <v>69</v>
      </c>
      <c r="D26" s="216" t="s">
        <v>3</v>
      </c>
      <c r="E26" s="217" t="str">
        <f>IF(活動申込!$C$24=0,"",$D$26&amp;"づくり"&amp;活動申込!$D$24&amp;"セット 炊事場 "&amp;CONCATENATE(活動申込!$G$24,活動申込!$H$24," ",活動申込!$J$24,活動申込!$K$24," ",活動申込!$M$24,活動申込!$N$24))</f>
        <v/>
      </c>
      <c r="F26" s="217" t="str">
        <f>IF(活動申込!$R$24=0,"",$D$26&amp;"づくり"&amp;活動申込!$S$24&amp;"セット 炊事場 "&amp;CONCATENATE(活動申込!$V$24,活動申込!$W$24," ",活動申込!$Y$24,活動申込!$Z$24," ",活動申込!$AB$24,活動申込!$AC$24))</f>
        <v/>
      </c>
      <c r="G26" s="217" t="str">
        <f>IF(活動申込!$AG$24=0,"",$D$26&amp;"づくり"&amp;活動申込!$AH$24&amp;"セット 炊事場 "&amp;CONCATENATE(活動申込!$AK$24,活動申込!$AL$24," ",活動申込!$AN$24,活動申込!$AO$24," ",活動申込!$AQ$24,活動申込!$AR$24))</f>
        <v/>
      </c>
      <c r="H26" s="217" t="str">
        <f>IF(活動申込!$AV$24=0,"",$D$26&amp;"づくり"&amp;活動申込!$AW$24&amp;"セット 炊事場 "&amp;CONCATENATE(活動申込!$AZ$24,活動申込!$BA$24," ",活動申込!$BC$24,活動申込!$BD$24," ",活動申込!$BE$24,活動申込!$BG$24))</f>
        <v/>
      </c>
      <c r="I26" s="217" t="str">
        <f>IF(活動申込!$BK$24=0,"",$D$26&amp;"づくり"&amp;活動申込!$BL$24&amp;"セット 炊事場 "&amp;CONCATENATE(活動申込!$BO$24,活動申込!$BP$24," ",活動申込!$BR$24,活動申込!$BS$24," ",活動申込!$BU$24,活動申込!$BV$24))</f>
        <v/>
      </c>
    </row>
    <row r="27" spans="1:9">
      <c r="A27">
        <v>27</v>
      </c>
      <c r="B27" s="898"/>
      <c r="C27" s="861"/>
      <c r="D27" s="216" t="s">
        <v>4</v>
      </c>
      <c r="E27" s="217" t="str">
        <f>IF(活動申込!$C$25=0,"",$D$27&amp;"づくり"&amp;活動申込!$D$25&amp;"人 "&amp;活動申込!$F$25 )</f>
        <v/>
      </c>
      <c r="F27" s="217" t="str">
        <f>IF(活動申込!$R$25=0,"",$D$27&amp;"づくり"&amp;活動申込!$S$25&amp;"人 "&amp;活動申込!$U$25 )</f>
        <v/>
      </c>
      <c r="G27" s="217" t="str">
        <f>IF(活動申込!$AG$25=0,"",$D$27&amp;"づくり"&amp;活動申込!$AH$25&amp;"人 "&amp;活動申込!$AJ$25 )</f>
        <v/>
      </c>
      <c r="H27" s="217" t="str">
        <f>IF(活動申込!$AV$25=0,"",$D$27&amp;"づくり"&amp;活動申込!$AW$25&amp;"人 "&amp;活動申込!$AY$25 )</f>
        <v/>
      </c>
      <c r="I27" s="217" t="str">
        <f>IF(活動申込!$BK$25=0,"",$D$27&amp;"づくり"&amp;活動申込!$BL$25&amp;"人 "&amp;活動申込!$BN$25 )</f>
        <v/>
      </c>
    </row>
    <row r="28" spans="1:9" ht="13.5" customHeight="1">
      <c r="A28">
        <v>28</v>
      </c>
      <c r="B28" s="898"/>
      <c r="C28" s="861"/>
      <c r="D28" s="216" t="s">
        <v>5</v>
      </c>
      <c r="E28" s="217" t="str">
        <f>IF(活動申込!$C$26=0,"",$D$28&amp;"づくり"&amp;活動申込!$D$26&amp;"人 "&amp;活動申込!$F$26 )</f>
        <v/>
      </c>
      <c r="F28" s="217" t="str">
        <f>IF(活動申込!$R$26=0,"",$D$28&amp;"づくり"&amp;活動申込!$S$26&amp;"人 "&amp;活動申込!$U$26 )</f>
        <v/>
      </c>
      <c r="G28" s="217" t="str">
        <f>IF(活動申込!$AG$26=0,"",$D$28&amp;"づくり"&amp;活動申込!$AH$26&amp;"人 "&amp;活動申込!$AJ$26 )</f>
        <v/>
      </c>
      <c r="H28" s="217" t="str">
        <f>IF(活動申込!$AV$26=0,"",$D$28&amp;"づくり"&amp;活動申込!$AW$26&amp;"人 "&amp;活動申込!$AY$26 )</f>
        <v/>
      </c>
      <c r="I28" s="217" t="str">
        <f>IF(活動申込!$BK$26=0,"",$D$28&amp;"づくり"&amp;活動申込!$BL$26&amp;"人 "&amp;活動申込!$BN$26 )</f>
        <v/>
      </c>
    </row>
    <row r="29" spans="1:9">
      <c r="A29">
        <v>29</v>
      </c>
      <c r="B29" s="898"/>
      <c r="C29" s="861"/>
      <c r="D29" s="216" t="s">
        <v>7</v>
      </c>
      <c r="E29" s="217" t="str">
        <f>IF(活動申込!$C$27=0,"",$D$29&amp;"づくり"&amp;活動申込!$D$27&amp;"人 "&amp;活動申込!$F$27 )</f>
        <v/>
      </c>
      <c r="F29" s="217" t="str">
        <f>IF(活動申込!$R$27=0,"",$D$29&amp;"づくり"&amp;活動申込!$S$27&amp;"人 "&amp;活動申込!$U$27 )</f>
        <v/>
      </c>
      <c r="G29" s="217" t="str">
        <f>IF(活動申込!$AG$27=0,"",$D$29&amp;"づくり"&amp;活動申込!$AH$27&amp;"人 "&amp;活動申込!$AJ$27 )</f>
        <v/>
      </c>
      <c r="H29" s="217" t="str">
        <f>IF(活動申込!$AV$27=0,"",$D$29&amp;"づくり"&amp;活動申込!$AW$27&amp;"人 "&amp;活動申込!$AY$27 )</f>
        <v/>
      </c>
      <c r="I29" s="217" t="str">
        <f>IF(活動申込!$BK$27=0,"",$D$29&amp;"づくり"&amp;活動申込!$BL$27&amp;"人 "&amp;活動申込!$BN$27 )</f>
        <v/>
      </c>
    </row>
    <row r="30" spans="1:9">
      <c r="A30">
        <v>30</v>
      </c>
      <c r="B30" s="898"/>
      <c r="C30" s="861"/>
      <c r="D30" s="216" t="s">
        <v>8</v>
      </c>
      <c r="E30" s="217" t="str">
        <f>IF(活動申込!$C$28=0,"",$D$30&amp;"づくり"&amp;活動申込!$D$28&amp;"人 "&amp;活動申込!$F$28 )</f>
        <v/>
      </c>
      <c r="F30" s="217" t="str">
        <f>IF(活動申込!$R$28=0,"",$D$30&amp;"づくり"&amp;活動申込!$S$28&amp;"人 "&amp;活動申込!$U$28 )</f>
        <v/>
      </c>
      <c r="G30" s="217" t="str">
        <f>IF(活動申込!$AG$28=0,"",$D$30&amp;"づくり"&amp;活動申込!$AH$28&amp;"人 "&amp;活動申込!$AJ$28 )</f>
        <v/>
      </c>
      <c r="H30" s="217" t="str">
        <f>IF(活動申込!$AV$28=0,"",$D$30&amp;"づくり"&amp;活動申込!$AW$28&amp;"人 "&amp;活動申込!$AY$28 )</f>
        <v/>
      </c>
      <c r="I30" s="217" t="str">
        <f>IF(活動申込!$BK$28=0,"",$D$30&amp;"づくり"&amp;活動申込!$BL$28&amp;"人 "&amp;活動申込!$BN$28 )</f>
        <v/>
      </c>
    </row>
    <row r="31" spans="1:9">
      <c r="A31">
        <v>31</v>
      </c>
      <c r="B31" s="898"/>
      <c r="C31" s="861"/>
      <c r="D31" s="216" t="s">
        <v>6</v>
      </c>
      <c r="E31" s="217" t="str">
        <f>IF(活動申込!$C$29=0,"",$D$31&amp;"づくり"&amp;活動申込!$D$29&amp;"人 "&amp;活動申込!$F$29 )</f>
        <v/>
      </c>
      <c r="F31" s="217" t="str">
        <f>IF(活動申込!$R$29=0,"",$D$31&amp;"づくり"&amp;活動申込!$S$29&amp;"人 "&amp;活動申込!$U$29 )</f>
        <v/>
      </c>
      <c r="G31" s="217" t="str">
        <f>IF(活動申込!$AG$29=0,"",$D$31&amp;"づくり"&amp;活動申込!$AH$29&amp;"人 "&amp;活動申込!$AJ$29 )</f>
        <v/>
      </c>
      <c r="H31" s="217" t="str">
        <f>IF(活動申込!$AV$29=0,"",$D$31&amp;"づくり"&amp;活動申込!$AW$29&amp;"人 "&amp;活動申込!$AY$29 )</f>
        <v/>
      </c>
      <c r="I31" s="217" t="str">
        <f>IF(活動申込!$BK$29=0,"",$D$31&amp;"づくり"&amp;活動申込!$BL$29&amp;"人 "&amp;活動申込!$BN$29 )</f>
        <v/>
      </c>
    </row>
    <row r="32" spans="1:9">
      <c r="A32">
        <v>32</v>
      </c>
      <c r="B32" s="898"/>
      <c r="C32" s="23" t="s">
        <v>19</v>
      </c>
      <c r="D32" s="216" t="s">
        <v>2</v>
      </c>
      <c r="E32" s="217" t="str">
        <f>IF(活動申込!$C$30=0,"",$D$32&amp;活動申込!$D$30&amp;"人 "&amp;活動申込!$F$30 )</f>
        <v/>
      </c>
      <c r="F32" s="217" t="str">
        <f>IF(活動申込!$R$30=0,"",$D$32&amp;活動申込!$S$30&amp;"人 "&amp;活動申込!$U$30 )</f>
        <v/>
      </c>
      <c r="G32" s="217" t="str">
        <f>IF(活動申込!$AG$30=0,"",$D$32&amp;活動申込!$AH$30&amp;"人 "&amp;活動申込!$AJ$30 )</f>
        <v/>
      </c>
      <c r="H32" s="217" t="str">
        <f>IF(活動申込!$AV$30=0,"",$D$32&amp;活動申込!$AW$30&amp;"人 "&amp;活動申込!$AY$30 )</f>
        <v/>
      </c>
      <c r="I32" s="217" t="str">
        <f>IF(活動申込!$BK$30=0,"",$D$32&amp;活動申込!$BL$30&amp;"人 "&amp;活動申込!$BN$30 )</f>
        <v/>
      </c>
    </row>
    <row r="33" spans="1:9">
      <c r="A33">
        <v>33</v>
      </c>
      <c r="B33" s="898"/>
      <c r="C33" s="891" t="s">
        <v>268</v>
      </c>
      <c r="D33" s="216" t="s">
        <v>9</v>
      </c>
      <c r="E33" s="217" t="str">
        <f>IF(活動申込!$C$31=0,"",CONCATENATE("ハイキング　　",活動申込!$D$31,活動申込!$E$31,"　　コース：",活動申込!$J$31))</f>
        <v/>
      </c>
      <c r="F33" s="217" t="str">
        <f>IF(活動申込!$R$31=0,"",CONCATENATE("ハイキング　　",活動申込!$S$31,活動申込!$T$31,"　　コース：",活動申込!$Y$31))</f>
        <v/>
      </c>
      <c r="G33" s="217" t="str">
        <f>IF(活動申込!$AG$31=0,"",CONCATENATE("ハイキング　　",活動申込!$AH$31,活動申込!$AI$31,"　　コース：",活動申込!$AN$31))</f>
        <v/>
      </c>
      <c r="H33" s="217" t="str">
        <f>IF(活動申込!$AV$31=0,"",CONCATENATE("ハイキング　　",活動申込!$AW$31,活動申込!$AX$31,"　　コース：",活動申込!$BC$31))</f>
        <v/>
      </c>
      <c r="I33" s="217" t="str">
        <f>IF(活動申込!$BK$31=0,"",CONCATENATE("ハイキング　　",活動申込!$BL$31,活動申込!$BM$31,"　　コース：",活動申込!$BR$31))</f>
        <v/>
      </c>
    </row>
    <row r="34" spans="1:9">
      <c r="A34">
        <v>34</v>
      </c>
      <c r="B34" s="898"/>
      <c r="C34" s="891"/>
      <c r="D34" s="216" t="s">
        <v>10</v>
      </c>
      <c r="E34" s="217" t="str">
        <f>IF(活動申込!$C$32=0,"",CONCATENATE(活動申込!$B$32,"　",活動申込!$D$32,活動申込!$E$32,"　",活動申込!$F$32))</f>
        <v/>
      </c>
      <c r="F34" s="217" t="str">
        <f>IF(活動申込!$R$32=0,"",CONCATENATE(活動申込!$Q$32,"　",活動申込!$S$32,活動申込!$T$32,"　",活動申込!$U$32))</f>
        <v/>
      </c>
      <c r="G34" s="217" t="str">
        <f>IF(活動申込!$AG$32=0,"",CONCATENATE(活動申込!$AF$32,"　",活動申込!$AH$32,活動申込!$AI$32,"　",活動申込!$AJ$32))</f>
        <v/>
      </c>
      <c r="H34" s="217" t="str">
        <f>IF(活動申込!$AV$32=0,"",CONCATENATE(活動申込!$AU$32,"　",活動申込!$AW$32,活動申込!$AX$32,"　",活動申込!$AY$32))</f>
        <v/>
      </c>
      <c r="I34" s="217" t="str">
        <f>IF(活動申込!$BK$32=0,"",CONCATENATE(活動申込!$BJ$32,"　",活動申込!$BL$32,活動申込!$BM$32,"　",活動申込!$BN$32))</f>
        <v/>
      </c>
    </row>
    <row r="35" spans="1:9" ht="13.5" customHeight="1">
      <c r="A35">
        <v>35</v>
      </c>
      <c r="B35" s="898"/>
      <c r="C35" s="891"/>
      <c r="D35" s="216" t="s">
        <v>11</v>
      </c>
      <c r="E35" s="217" t="str">
        <f>IF(活動申込!$C$33=0,"",CONCATENATE(活動申込!$B$33,"　",活動申込!$D$33,活動申込!$E$33,"　",活動申込!$F$33))</f>
        <v/>
      </c>
      <c r="F35" s="217" t="str">
        <f>IF(活動申込!$R$33=0,"",CONCATENATE(活動申込!$Q$33,"　",活動申込!$S$33,活動申込!$T$33,"　",活動申込!$U$33))</f>
        <v/>
      </c>
      <c r="G35" s="217" t="str">
        <f>IF(活動申込!$AG$33=0,"",CONCATENATE(活動申込!$AF$33,"　",活動申込!$AH$33,活動申込!$AI$33,"　",活動申込!$AJ$33))</f>
        <v/>
      </c>
      <c r="H35" s="217" t="str">
        <f>IF(活動申込!$AV$33=0,"",CONCATENATE(活動申込!$AU$33,"　",活動申込!$AW$33,活動申込!$AX$33,"　",活動申込!$AY$33))</f>
        <v/>
      </c>
      <c r="I35" s="217" t="str">
        <f>IF(活動申込!$BK$33=0,"",CONCATENATE(活動申込!$BJ$33,"　",活動申込!$BL$33,活動申込!$BM$33,"　",活動申込!$BN$33))</f>
        <v/>
      </c>
    </row>
    <row r="36" spans="1:9">
      <c r="A36">
        <v>36</v>
      </c>
      <c r="B36" s="898"/>
      <c r="C36" s="891"/>
      <c r="D36" s="216" t="s">
        <v>12</v>
      </c>
      <c r="E36" s="217" t="str">
        <f>IF(活動申込!$C$34=0,"",CONCATENATE(活動申込!$B$34,"　",活動申込!$D$34,活動申込!$E$34,"　",活動申込!$F$34))</f>
        <v/>
      </c>
      <c r="F36" s="217" t="str">
        <f>IF(活動申込!$R$34=0,"",CONCATENATE(活動申込!$Q$34,"　",活動申込!$S$34,活動申込!$T$34,"　",活動申込!$U$34))</f>
        <v/>
      </c>
      <c r="G36" s="217" t="str">
        <f>IF(活動申込!$AG$34=0,"",CONCATENATE(活動申込!$AF$34,"　",活動申込!$AH$34,活動申込!$AI$34,"　",活動申込!$AJ$34))</f>
        <v/>
      </c>
      <c r="H36" s="217" t="str">
        <f>IF(活動申込!$AV$34=0,"",CONCATENATE(活動申込!$AU$34,"　",活動申込!$AW$34,活動申込!$AX$34,"　",活動申込!$AY$34))</f>
        <v/>
      </c>
      <c r="I36" s="217" t="str">
        <f>IF(活動申込!$BK$34=0,"",CONCATENATE(活動申込!$BJ$34,"　",活動申込!$BL$34,活動申込!$BM$34,"　",活動申込!$BN$34))</f>
        <v/>
      </c>
    </row>
    <row r="37" spans="1:9">
      <c r="A37">
        <v>37</v>
      </c>
      <c r="B37" s="898"/>
      <c r="C37" s="891"/>
      <c r="D37" s="216" t="s">
        <v>13</v>
      </c>
      <c r="E37" s="217" t="str">
        <f>IF(活動申込!$C$35=0,"",CONCATENATE(活動申込!$B$35,"　",活動申込!$D$35,活動申込!$E$35,"　",活動申込!$F$35))</f>
        <v/>
      </c>
      <c r="F37" s="217" t="str">
        <f>IF(活動申込!$R$35=0,"",CONCATENATE(活動申込!$Q$35,"　",活動申込!$S$35,活動申込!$T$35,"　",活動申込!$U$35))</f>
        <v/>
      </c>
      <c r="G37" s="217" t="str">
        <f>IF(活動申込!$AG$35=0,"",CONCATENATE(活動申込!$AF$35,"　",活動申込!$AH$35,活動申込!$AI$35,"　",活動申込!$AJ$35))</f>
        <v/>
      </c>
      <c r="H37" s="217" t="str">
        <f>IF(活動申込!$AV$35=0,"",CONCATENATE(活動申込!$AU$35,"　",活動申込!$AW$35,活動申込!$AX$35,"　",活動申込!$AY$35))</f>
        <v/>
      </c>
      <c r="I37" s="217" t="str">
        <f>IF(活動申込!$BK$35=0,"",CONCATENATE(活動申込!$BJ$35,"　",活動申込!$BL$35,活動申込!$BM$35,"　",活動申込!$BN$35))</f>
        <v/>
      </c>
    </row>
    <row r="38" spans="1:9">
      <c r="A38">
        <v>38</v>
      </c>
      <c r="B38" s="898"/>
      <c r="C38" s="891"/>
      <c r="D38" s="216" t="s">
        <v>14</v>
      </c>
      <c r="E38" s="217" t="str">
        <f>IF(活動申込!$C$36=0,"",CONCATENATE(活動申込!$B$36,"　",活動申込!$D$36,活動申込!$E$36,"　",活動申込!$F$36))</f>
        <v/>
      </c>
      <c r="F38" s="217" t="str">
        <f>IF(活動申込!$R$36=0,"",CONCATENATE(活動申込!$Q$36,"　",活動申込!$S$36,活動申込!$T$36,"　",活動申込!$U$36))</f>
        <v/>
      </c>
      <c r="G38" s="217" t="str">
        <f>IF(活動申込!$AG$36=0,"",CONCATENATE(活動申込!$AF$36,"　",活動申込!$AH$36,活動申込!$AI$36,"　",活動申込!$AJ$36))</f>
        <v/>
      </c>
      <c r="H38" s="217" t="str">
        <f>IF(活動申込!$AV$36=0,"",CONCATENATE(活動申込!$AU$36,"　",活動申込!$AW$36,活動申込!$AX$36,"　",活動申込!$AY$36))</f>
        <v/>
      </c>
      <c r="I38" s="217" t="str">
        <f>IF(活動申込!$BK$36=0,"",CONCATENATE(活動申込!$BJ$36,"　",活動申込!$BL$36,活動申込!$BM$36,"　",活動申込!$BN$36))</f>
        <v/>
      </c>
    </row>
    <row r="39" spans="1:9">
      <c r="A39">
        <v>39</v>
      </c>
      <c r="B39" s="898"/>
      <c r="C39" s="891"/>
      <c r="D39" s="216" t="s">
        <v>22</v>
      </c>
      <c r="E39" s="217" t="str">
        <f>IF(活動申込!$C$37=0,"",CONCATENATE(活動申込!$B$37,"　",活動申込!$D$37,活動申込!$E$37,"　",活動申込!$F$37))</f>
        <v/>
      </c>
      <c r="F39" s="217" t="str">
        <f>IF(活動申込!$R$37=0,"",CONCATENATE(活動申込!$Q$37,"　",活動申込!$S$37,活動申込!$T$37,"　",活動申込!$U$37))</f>
        <v/>
      </c>
      <c r="G39" s="217" t="str">
        <f>IF(活動申込!$AG$37=0,"",CONCATENATE(活動申込!$AF$37,"　",活動申込!$AH$37,活動申込!$AI$37,"　",活動申込!$AJ$37))</f>
        <v/>
      </c>
      <c r="H39" s="217" t="str">
        <f>IF(活動申込!$AV$37=0,"",CONCATENATE(活動申込!$AU$37,"　",活動申込!$AW$37,活動申込!$AX$37,"　",活動申込!$AY$37))</f>
        <v/>
      </c>
      <c r="I39" s="217" t="str">
        <f>IF(活動申込!$BK$37=0,"",CONCATENATE(活動申込!$BJ$37,"　",活動申込!$BL$37,活動申込!$BM$37,"　",活動申込!$BN$37))</f>
        <v/>
      </c>
    </row>
    <row r="40" spans="1:9">
      <c r="A40">
        <v>40</v>
      </c>
      <c r="B40" s="898"/>
      <c r="C40" s="895" t="s">
        <v>275</v>
      </c>
      <c r="D40" s="216" t="s">
        <v>349</v>
      </c>
      <c r="E40" s="217" t="str">
        <f>IF(活動申込!$C$38=0,"",活動申込!$B$38&amp;" "&amp;活動申込!$M$38)</f>
        <v/>
      </c>
      <c r="F40" s="217" t="str">
        <f>IF(活動申込!$R$38=0,"",活動申込!$Q$38&amp;" "&amp;活動申込!$AB$38)</f>
        <v/>
      </c>
      <c r="G40" s="217" t="str">
        <f>IF(活動申込!$AG$38=0,"",活動申込!$AF$38&amp;" "&amp;活動申込!$AQ$38)</f>
        <v/>
      </c>
      <c r="H40" s="217" t="str">
        <f>IF(活動申込!$AV$38=0,"",活動申込!$AU$38&amp;" "&amp;活動申込!$BF$38)</f>
        <v/>
      </c>
      <c r="I40" s="217" t="str">
        <f>IF(活動申込!$BK$38=0,"",活動申込!$BJ$38&amp;" "&amp;活動申込!$BU$38)</f>
        <v/>
      </c>
    </row>
    <row r="41" spans="1:9">
      <c r="A41">
        <v>41</v>
      </c>
      <c r="B41" s="898"/>
      <c r="C41" s="896"/>
      <c r="D41" s="216" t="s">
        <v>350</v>
      </c>
      <c r="E41" s="217" t="str">
        <f>IF(活動申込!$C$38=0,"",活動申込!$B$39&amp;" "&amp;活動申込!$M$39)</f>
        <v/>
      </c>
      <c r="F41" s="217" t="str">
        <f>IF(活動申込!$R$38=0,"",活動申込!$Q$39&amp;" "&amp;活動申込!$AB$39)</f>
        <v/>
      </c>
      <c r="G41" s="217" t="str">
        <f>IF(活動申込!$AG$38=0,"",活動申込!$AF$39&amp;" "&amp;活動申込!$AQ$39)</f>
        <v/>
      </c>
      <c r="H41" s="217" t="str">
        <f>IF(活動申込!$AV$38=0,"",活動申込!$AU$39&amp;" "&amp;活動申込!$BF$39)</f>
        <v/>
      </c>
      <c r="I41" s="217" t="str">
        <f>IF(活動申込!$BK$38=0,"",活動申込!$BJ$39&amp;" "&amp;活動申込!$BU$39)</f>
        <v/>
      </c>
    </row>
    <row r="42" spans="1:9">
      <c r="A42">
        <v>42</v>
      </c>
      <c r="B42" s="898"/>
      <c r="C42" s="896"/>
      <c r="D42" s="216" t="s">
        <v>351</v>
      </c>
      <c r="E42" s="217" t="str">
        <f>IF(活動申込!$C$38=0,"",活動申込!$B$40&amp;" "&amp;活動申込!$M$40)</f>
        <v/>
      </c>
      <c r="F42" s="217" t="str">
        <f>IF(活動申込!$R$38=0,"",活動申込!$Q$40&amp;" "&amp;活動申込!$AB$40)</f>
        <v/>
      </c>
      <c r="G42" s="217" t="str">
        <f>IF(活動申込!$AG$38=0,"",活動申込!$AF$40&amp;" "&amp;活動申込!$AQ$40)</f>
        <v/>
      </c>
      <c r="H42" s="217" t="str">
        <f>IF(活動申込!$AV$38=0,"",活動申込!$AU$40&amp;" "&amp;活動申込!$BF$40)</f>
        <v/>
      </c>
      <c r="I42" s="217" t="str">
        <f>IF(活動申込!$BK$38=0,"",活動申込!$BJ$40&amp;" "&amp;活動申込!$BU$40)</f>
        <v/>
      </c>
    </row>
    <row r="43" spans="1:9">
      <c r="A43">
        <v>43</v>
      </c>
      <c r="B43" s="898"/>
      <c r="C43" s="897"/>
      <c r="D43" s="216" t="s">
        <v>352</v>
      </c>
      <c r="E43" s="217" t="str">
        <f>IF(活動申込!$C$38=0,"",活動申込!$B$41&amp;" "&amp;活動申込!$M$41)</f>
        <v/>
      </c>
      <c r="F43" s="217" t="str">
        <f>IF(活動申込!$R$38=0,"",活動申込!$Q$41&amp;" "&amp;活動申込!$AB$41)</f>
        <v/>
      </c>
      <c r="G43" s="217" t="str">
        <f>IF(活動申込!$AG$38=0,"",活動申込!$AF$41&amp;" "&amp;活動申込!$AQ$41)</f>
        <v/>
      </c>
      <c r="H43" s="217" t="str">
        <f>IF(活動申込!$AV$38=0,"",活動申込!$AU$41&amp;" "&amp;活動申込!$BF$41)</f>
        <v/>
      </c>
      <c r="I43" s="217" t="str">
        <f>IF(活動申込!$BK$38=0,"",活動申込!$BJ$41&amp;" "&amp;活動申込!$BU$41)</f>
        <v/>
      </c>
    </row>
    <row r="44" spans="1:9">
      <c r="A44">
        <v>44</v>
      </c>
      <c r="B44" s="898"/>
      <c r="C44" s="891" t="s">
        <v>344</v>
      </c>
      <c r="D44" s="223" t="s">
        <v>353</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898"/>
      <c r="C45" s="891"/>
      <c r="D45" s="223" t="s">
        <v>354</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898"/>
      <c r="C46" s="891"/>
      <c r="D46" s="223" t="s">
        <v>355</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898"/>
      <c r="C47" s="891"/>
      <c r="D47" s="223" t="s">
        <v>356</v>
      </c>
      <c r="E47" s="1" t="str">
        <f>IF(活動申込!$B$45=0,"",CONCATENATE(活動申込!$B$45," ",活動申込!$F$45))</f>
        <v/>
      </c>
      <c r="F47" s="1" t="str">
        <f>IF(活動申込!$Q$45=0,"",CONCATENATE(活動申込!$Q$45," ",活動申込!$U$45))</f>
        <v/>
      </c>
      <c r="G47" s="1" t="str">
        <f>IF(活動申込!$AF$45=0,"",CONCATENATE(活動申込!$AF$45," ",活動申込!$AJ$45))</f>
        <v/>
      </c>
      <c r="H47" s="1" t="str">
        <f>IF(活動申込!$AU$45=0,"",CONCATENATE(活動申込!$AU$45," ",活動申込!$AY$45))</f>
        <v/>
      </c>
      <c r="I47" s="1" t="str">
        <f>IF(活動申込!$BJ$45=0,"",CONCATENATE(活動申込!$BJ$45," ",活動申込!$BN$45))</f>
        <v/>
      </c>
    </row>
    <row r="48" spans="1:9">
      <c r="A48">
        <v>48</v>
      </c>
      <c r="B48" s="898" t="s">
        <v>299</v>
      </c>
      <c r="C48" s="861" t="s">
        <v>303</v>
      </c>
      <c r="D48" s="216" t="s">
        <v>304</v>
      </c>
      <c r="E48" s="224" t="str">
        <f>活動申込!$C$7</f>
        <v/>
      </c>
      <c r="F48" s="224" t="str">
        <f>活動申込!$R$7</f>
        <v/>
      </c>
      <c r="G48" s="224" t="str">
        <f>活動申込!$AG$7</f>
        <v/>
      </c>
      <c r="H48" s="224" t="str">
        <f>活動申込!$AV$7</f>
        <v/>
      </c>
      <c r="I48" s="224" t="str">
        <f>活動申込!$BK$7</f>
        <v/>
      </c>
    </row>
    <row r="49" spans="1:9">
      <c r="A49">
        <v>49</v>
      </c>
      <c r="B49" s="898"/>
      <c r="C49" s="861"/>
      <c r="D49" s="216" t="s">
        <v>305</v>
      </c>
      <c r="E49" s="224" t="str">
        <f>活動申込!$C$8</f>
        <v/>
      </c>
      <c r="F49" s="224" t="str">
        <f>活動申込!$R$8</f>
        <v/>
      </c>
      <c r="G49" s="224" t="str">
        <f>活動申込!$AG$8</f>
        <v/>
      </c>
      <c r="H49" s="224" t="str">
        <f>活動申込!$AV$8</f>
        <v/>
      </c>
      <c r="I49" s="224" t="str">
        <f>活動申込!$BK$8</f>
        <v/>
      </c>
    </row>
    <row r="50" spans="1:9">
      <c r="A50">
        <v>50</v>
      </c>
      <c r="B50" s="898"/>
      <c r="C50" s="861"/>
      <c r="D50" s="216" t="s">
        <v>306</v>
      </c>
      <c r="E50" s="224" t="str">
        <f>活動申込!$C$9</f>
        <v/>
      </c>
      <c r="F50" s="224" t="str">
        <f>活動申込!$R$9</f>
        <v/>
      </c>
      <c r="G50" s="224" t="str">
        <f>活動申込!$AG$9</f>
        <v/>
      </c>
      <c r="H50" s="224" t="str">
        <f>活動申込!$AV$9</f>
        <v/>
      </c>
      <c r="I50" s="224" t="str">
        <f>活動申込!$BK$9</f>
        <v/>
      </c>
    </row>
    <row r="51" spans="1:9">
      <c r="A51">
        <v>51</v>
      </c>
      <c r="B51" s="898"/>
      <c r="C51" s="861"/>
      <c r="D51" s="216" t="s">
        <v>381</v>
      </c>
      <c r="E51" s="224" t="str">
        <f>活動申込!$C$10</f>
        <v/>
      </c>
      <c r="F51" s="224" t="str">
        <f>活動申込!$R$10</f>
        <v/>
      </c>
      <c r="G51" s="224" t="str">
        <f>活動申込!$AG$10</f>
        <v/>
      </c>
      <c r="H51" s="224" t="str">
        <f>活動申込!$AV$10</f>
        <v/>
      </c>
      <c r="I51" s="224" t="str">
        <f>活動申込!$BK$10</f>
        <v/>
      </c>
    </row>
    <row r="52" spans="1:9">
      <c r="A52">
        <v>52</v>
      </c>
      <c r="B52" s="898"/>
      <c r="C52" s="23"/>
      <c r="D52" s="216"/>
      <c r="E52" s="224" t="str">
        <f>活動申込!$C$11</f>
        <v/>
      </c>
      <c r="F52" s="224" t="str">
        <f>活動申込!$R$11</f>
        <v/>
      </c>
      <c r="G52" s="224" t="str">
        <f>活動申込!$AG$11</f>
        <v/>
      </c>
      <c r="H52" s="224" t="str">
        <f>活動申込!$AV$11</f>
        <v/>
      </c>
      <c r="I52" s="224" t="str">
        <f>活動申込!$BK$11</f>
        <v/>
      </c>
    </row>
    <row r="53" spans="1:9">
      <c r="A53">
        <v>53</v>
      </c>
      <c r="B53" s="898"/>
      <c r="C53" s="23"/>
      <c r="D53" s="216" t="s">
        <v>300</v>
      </c>
      <c r="E53" s="224">
        <f>活動申込!$H$14</f>
        <v>0</v>
      </c>
      <c r="F53" s="237"/>
      <c r="G53" s="237"/>
      <c r="H53" s="237"/>
      <c r="I53" s="237"/>
    </row>
    <row r="54" spans="1:9">
      <c r="A54">
        <v>54</v>
      </c>
      <c r="B54" s="898"/>
      <c r="C54" s="861" t="s">
        <v>117</v>
      </c>
      <c r="D54" s="216" t="s">
        <v>62</v>
      </c>
      <c r="E54" s="224">
        <f>活動申込!$C$12</f>
        <v>0</v>
      </c>
      <c r="F54" s="237"/>
      <c r="G54" s="237"/>
      <c r="H54" s="237"/>
      <c r="I54" s="237"/>
    </row>
    <row r="55" spans="1:9">
      <c r="A55">
        <v>55</v>
      </c>
      <c r="B55" s="898"/>
      <c r="C55" s="861"/>
      <c r="D55" s="216" t="s">
        <v>0</v>
      </c>
      <c r="E55" s="224">
        <f>活動申込!$C$15</f>
        <v>0</v>
      </c>
      <c r="F55" s="237"/>
      <c r="G55" s="237"/>
      <c r="H55" s="237"/>
      <c r="I55" s="237"/>
    </row>
    <row r="56" spans="1:9" ht="27">
      <c r="A56">
        <v>56</v>
      </c>
      <c r="B56" s="898"/>
      <c r="C56" s="861"/>
      <c r="D56" s="222" t="s">
        <v>312</v>
      </c>
      <c r="E56" s="224">
        <v>0.25</v>
      </c>
      <c r="F56" s="237"/>
      <c r="G56" s="237"/>
      <c r="H56" s="237"/>
      <c r="I56" s="237"/>
    </row>
    <row r="57" spans="1:9">
      <c r="A57">
        <v>57</v>
      </c>
      <c r="B57" s="898"/>
      <c r="C57" s="861" t="s">
        <v>118</v>
      </c>
      <c r="D57" s="216" t="s">
        <v>76</v>
      </c>
      <c r="E57" s="225"/>
      <c r="F57" s="224">
        <v>0.36458333333333331</v>
      </c>
      <c r="G57" s="237"/>
      <c r="H57" s="237"/>
      <c r="I57" s="237"/>
    </row>
    <row r="58" spans="1:9">
      <c r="A58">
        <v>58</v>
      </c>
      <c r="B58" s="898"/>
      <c r="C58" s="861"/>
      <c r="D58" s="216" t="str">
        <f>CONCATENATE("退所","　　荷物置き場：",活動申込!U121," ",活動申込!Q122," ",活動申込!U122)</f>
        <v xml:space="preserve">退所　　荷物置き場：  </v>
      </c>
      <c r="E58" s="225"/>
      <c r="F58" s="224">
        <f>活動申込!$R$12</f>
        <v>0</v>
      </c>
      <c r="G58" s="237"/>
      <c r="H58" s="237"/>
      <c r="I58" s="237"/>
    </row>
    <row r="59" spans="1:9">
      <c r="A59">
        <v>59</v>
      </c>
      <c r="B59" s="898"/>
      <c r="C59" s="861"/>
      <c r="D59" s="216" t="s">
        <v>1</v>
      </c>
      <c r="E59" s="225"/>
      <c r="F59" s="224">
        <f>活動申込!R15</f>
        <v>0</v>
      </c>
      <c r="G59" s="237"/>
      <c r="H59" s="237"/>
      <c r="I59" s="237"/>
    </row>
    <row r="60" spans="1:9">
      <c r="A60">
        <v>60</v>
      </c>
      <c r="B60" s="898"/>
      <c r="C60" s="23"/>
      <c r="D60" s="216" t="s">
        <v>267</v>
      </c>
      <c r="E60" s="225"/>
      <c r="F60" s="224">
        <f>活動申込!Y14</f>
        <v>0</v>
      </c>
      <c r="G60" s="237"/>
      <c r="H60" s="237"/>
      <c r="I60" s="237"/>
    </row>
    <row r="61" spans="1:9">
      <c r="A61">
        <v>61</v>
      </c>
      <c r="B61" s="898"/>
      <c r="C61" s="23" t="s">
        <v>115</v>
      </c>
      <c r="D61" s="216" t="s">
        <v>61</v>
      </c>
      <c r="E61" s="224">
        <f>活動申込!$C$16</f>
        <v>0</v>
      </c>
      <c r="F61" s="224">
        <f>活動申込!$R$16</f>
        <v>0</v>
      </c>
      <c r="G61" s="224">
        <f>活動申込!$AG$16</f>
        <v>0</v>
      </c>
      <c r="H61" s="224">
        <f>活動申込!$AV$16</f>
        <v>0</v>
      </c>
      <c r="I61" s="224">
        <f>活動申込!$BK$16</f>
        <v>0</v>
      </c>
    </row>
    <row r="62" spans="1:9">
      <c r="A62">
        <v>62</v>
      </c>
      <c r="B62" s="898"/>
      <c r="C62" s="227" t="s">
        <v>55</v>
      </c>
      <c r="D62" s="216" t="s">
        <v>77</v>
      </c>
      <c r="E62" s="224">
        <f>活動申込!$C$18</f>
        <v>0</v>
      </c>
      <c r="F62" s="225"/>
      <c r="G62" s="224">
        <f>活動申込!$AG$18</f>
        <v>0</v>
      </c>
      <c r="H62" s="224">
        <f>活動申込!AV18</f>
        <v>0</v>
      </c>
      <c r="I62" s="224">
        <f>活動申込!BK18</f>
        <v>0</v>
      </c>
    </row>
    <row r="63" spans="1:9">
      <c r="A63">
        <v>63</v>
      </c>
      <c r="B63" s="898"/>
      <c r="C63" s="861" t="s">
        <v>308</v>
      </c>
      <c r="D63" s="216" t="s">
        <v>75</v>
      </c>
      <c r="E63" s="237"/>
      <c r="F63" s="224">
        <v>0.25</v>
      </c>
      <c r="G63" s="224">
        <v>0.25</v>
      </c>
      <c r="H63" s="224">
        <v>0.25</v>
      </c>
      <c r="I63" s="224">
        <v>0.25</v>
      </c>
    </row>
    <row r="64" spans="1:9">
      <c r="A64">
        <v>64</v>
      </c>
      <c r="B64" s="898"/>
      <c r="C64" s="861"/>
      <c r="D64" s="216" t="s">
        <v>74</v>
      </c>
      <c r="E64" s="224">
        <v>0.95833333333333337</v>
      </c>
      <c r="F64" s="237"/>
      <c r="G64" s="224">
        <v>0.95833333333333337</v>
      </c>
      <c r="H64" s="224">
        <v>0.95833333333333337</v>
      </c>
      <c r="I64" s="224">
        <v>0.95833333333333337</v>
      </c>
    </row>
    <row r="65" spans="1:9">
      <c r="A65">
        <v>65</v>
      </c>
      <c r="B65" s="898"/>
      <c r="C65" s="861" t="s">
        <v>294</v>
      </c>
      <c r="D65" s="216" t="s">
        <v>296</v>
      </c>
      <c r="E65" s="224">
        <f>活動申込!$C$20</f>
        <v>0</v>
      </c>
      <c r="F65" s="224" t="str">
        <f>活動申込!$R$20</f>
        <v/>
      </c>
      <c r="G65" s="224" t="str">
        <f>活動申込!$AG$20</f>
        <v/>
      </c>
      <c r="H65" s="224" t="str">
        <f>活動申込!$AV$20</f>
        <v/>
      </c>
      <c r="I65" s="224" t="str">
        <f>活動申込!$BK$20</f>
        <v/>
      </c>
    </row>
    <row r="66" spans="1:9">
      <c r="A66">
        <v>66</v>
      </c>
      <c r="B66" s="898"/>
      <c r="C66" s="861"/>
      <c r="D66" s="216" t="s">
        <v>372</v>
      </c>
      <c r="E66" s="224">
        <f>活動申込!$C$21</f>
        <v>0</v>
      </c>
      <c r="F66" s="224" t="str">
        <f>活動申込!$R$21</f>
        <v/>
      </c>
      <c r="G66" s="224" t="str">
        <f>活動申込!$AG$21</f>
        <v/>
      </c>
      <c r="H66" s="224" t="str">
        <f>活動申込!$AV$21</f>
        <v/>
      </c>
      <c r="I66" s="224" t="str">
        <f>活動申込!$BK$21</f>
        <v/>
      </c>
    </row>
    <row r="67" spans="1:9">
      <c r="A67">
        <v>67</v>
      </c>
      <c r="B67" s="898"/>
      <c r="C67" s="861"/>
      <c r="D67" s="216" t="s">
        <v>295</v>
      </c>
      <c r="E67" s="224">
        <f>活動申込!$C$22</f>
        <v>0</v>
      </c>
      <c r="F67" s="224" t="str">
        <f>活動申込!$R$22</f>
        <v/>
      </c>
      <c r="G67" s="224" t="str">
        <f>活動申込!$AG$22</f>
        <v/>
      </c>
      <c r="H67" s="224" t="str">
        <f>活動申込!$AV$22</f>
        <v/>
      </c>
      <c r="I67" s="224" t="str">
        <f>活動申込!$BK$22</f>
        <v/>
      </c>
    </row>
    <row r="68" spans="1:9">
      <c r="A68">
        <v>68</v>
      </c>
      <c r="B68" s="898"/>
      <c r="C68" s="861"/>
      <c r="D68" s="216" t="s">
        <v>297</v>
      </c>
      <c r="E68" s="224">
        <f>活動申込!$C$23</f>
        <v>0</v>
      </c>
      <c r="F68" s="224" t="str">
        <f>活動申込!$R$23</f>
        <v/>
      </c>
      <c r="G68" s="224" t="str">
        <f>活動申込!$AG$23</f>
        <v/>
      </c>
      <c r="H68" s="224" t="str">
        <f>活動申込!$AV$23</f>
        <v/>
      </c>
      <c r="I68" s="224" t="str">
        <f>活動申込!$BK$23</f>
        <v/>
      </c>
    </row>
    <row r="69" spans="1:9">
      <c r="A69">
        <v>69</v>
      </c>
      <c r="B69" s="898"/>
      <c r="C69" s="861" t="s">
        <v>69</v>
      </c>
      <c r="D69" s="216" t="s">
        <v>3</v>
      </c>
      <c r="E69" s="224">
        <f>活動申込!$C$24</f>
        <v>0</v>
      </c>
      <c r="F69" s="224">
        <f>活動申込!$R$24</f>
        <v>0</v>
      </c>
      <c r="G69" s="224">
        <f>活動申込!$AG$24</f>
        <v>0</v>
      </c>
      <c r="H69" s="224">
        <f>活動申込!$AV$24</f>
        <v>0</v>
      </c>
      <c r="I69" s="224">
        <f>活動申込!$BK$24</f>
        <v>0</v>
      </c>
    </row>
    <row r="70" spans="1:9">
      <c r="A70">
        <v>70</v>
      </c>
      <c r="B70" s="898"/>
      <c r="C70" s="861"/>
      <c r="D70" s="216" t="s">
        <v>4</v>
      </c>
      <c r="E70" s="224">
        <f>活動申込!$C$25</f>
        <v>0</v>
      </c>
      <c r="F70" s="224">
        <f>活動申込!$R$25</f>
        <v>0</v>
      </c>
      <c r="G70" s="224">
        <f>活動申込!$AG$25</f>
        <v>0</v>
      </c>
      <c r="H70" s="224">
        <f>活動申込!$AV$25</f>
        <v>0</v>
      </c>
      <c r="I70" s="224">
        <f>活動申込!$BK$25</f>
        <v>0</v>
      </c>
    </row>
    <row r="71" spans="1:9">
      <c r="A71">
        <v>71</v>
      </c>
      <c r="B71" s="898"/>
      <c r="C71" s="861"/>
      <c r="D71" s="216" t="s">
        <v>5</v>
      </c>
      <c r="E71" s="224">
        <f>活動申込!$C$26</f>
        <v>0</v>
      </c>
      <c r="F71" s="224">
        <f>活動申込!$R$26</f>
        <v>0</v>
      </c>
      <c r="G71" s="224">
        <f>活動申込!$AG$26</f>
        <v>0</v>
      </c>
      <c r="H71" s="224">
        <f>活動申込!$AV$26</f>
        <v>0</v>
      </c>
      <c r="I71" s="224">
        <f>活動申込!$BK$26</f>
        <v>0</v>
      </c>
    </row>
    <row r="72" spans="1:9">
      <c r="A72">
        <v>72</v>
      </c>
      <c r="B72" s="898"/>
      <c r="C72" s="861"/>
      <c r="D72" s="216" t="s">
        <v>7</v>
      </c>
      <c r="E72" s="224">
        <f>活動申込!$C$27</f>
        <v>0</v>
      </c>
      <c r="F72" s="224">
        <f>活動申込!$R$27</f>
        <v>0</v>
      </c>
      <c r="G72" s="224">
        <f>活動申込!$AG$27</f>
        <v>0</v>
      </c>
      <c r="H72" s="224">
        <f>活動申込!$AV$27</f>
        <v>0</v>
      </c>
      <c r="I72" s="224">
        <f>活動申込!$BK$27</f>
        <v>0</v>
      </c>
    </row>
    <row r="73" spans="1:9">
      <c r="A73">
        <v>73</v>
      </c>
      <c r="B73" s="898"/>
      <c r="C73" s="861"/>
      <c r="D73" s="216" t="s">
        <v>8</v>
      </c>
      <c r="E73" s="224">
        <f>活動申込!$C$28</f>
        <v>0</v>
      </c>
      <c r="F73" s="224">
        <f>活動申込!$R$28</f>
        <v>0</v>
      </c>
      <c r="G73" s="224">
        <f>活動申込!$AG$28</f>
        <v>0</v>
      </c>
      <c r="H73" s="224">
        <f>活動申込!$AV$28</f>
        <v>0</v>
      </c>
      <c r="I73" s="224">
        <f>活動申込!$BK$28</f>
        <v>0</v>
      </c>
    </row>
    <row r="74" spans="1:9">
      <c r="A74">
        <v>74</v>
      </c>
      <c r="B74" s="898"/>
      <c r="C74" s="861"/>
      <c r="D74" s="216" t="s">
        <v>6</v>
      </c>
      <c r="E74" s="224">
        <f>活動申込!$C$29</f>
        <v>0</v>
      </c>
      <c r="F74" s="224">
        <f>活動申込!$R$29</f>
        <v>0</v>
      </c>
      <c r="G74" s="224">
        <f>活動申込!$AG$29</f>
        <v>0</v>
      </c>
      <c r="H74" s="224">
        <f>活動申込!$AV$29</f>
        <v>0</v>
      </c>
      <c r="I74" s="224">
        <f>活動申込!$BK$29</f>
        <v>0</v>
      </c>
    </row>
    <row r="75" spans="1:9" ht="13.5" customHeight="1">
      <c r="A75">
        <v>75</v>
      </c>
      <c r="B75" s="898"/>
      <c r="C75" s="23" t="s">
        <v>19</v>
      </c>
      <c r="D75" s="216" t="s">
        <v>2</v>
      </c>
      <c r="E75" s="224">
        <f>活動申込!$C$30</f>
        <v>0</v>
      </c>
      <c r="F75" s="224">
        <f>活動申込!$R$30</f>
        <v>0</v>
      </c>
      <c r="G75" s="224">
        <f>活動申込!$AG$30</f>
        <v>0</v>
      </c>
      <c r="H75" s="224">
        <f>活動申込!$AV$30</f>
        <v>0</v>
      </c>
      <c r="I75" s="224">
        <f>活動申込!$BK$30</f>
        <v>0</v>
      </c>
    </row>
    <row r="76" spans="1:9">
      <c r="A76">
        <v>76</v>
      </c>
      <c r="B76" s="898"/>
      <c r="C76" s="891" t="s">
        <v>268</v>
      </c>
      <c r="D76" s="216" t="s">
        <v>9</v>
      </c>
      <c r="E76" s="224">
        <f>活動申込!$C$31</f>
        <v>0</v>
      </c>
      <c r="F76" s="224">
        <f>活動申込!$R$31</f>
        <v>0</v>
      </c>
      <c r="G76" s="224">
        <f>活動申込!$AG$31</f>
        <v>0</v>
      </c>
      <c r="H76" s="224">
        <f>活動申込!$AV$31</f>
        <v>0</v>
      </c>
      <c r="I76" s="224">
        <f>活動申込!$BK$31</f>
        <v>0</v>
      </c>
    </row>
    <row r="77" spans="1:9">
      <c r="A77">
        <v>77</v>
      </c>
      <c r="B77" s="898"/>
      <c r="C77" s="891"/>
      <c r="D77" s="216" t="s">
        <v>10</v>
      </c>
      <c r="E77" s="224">
        <f>活動申込!$C$32</f>
        <v>0</v>
      </c>
      <c r="F77" s="224">
        <f>活動申込!$R$32</f>
        <v>0</v>
      </c>
      <c r="G77" s="224">
        <f>活動申込!$AG$32</f>
        <v>0</v>
      </c>
      <c r="H77" s="224">
        <f>活動申込!$AV$32</f>
        <v>0</v>
      </c>
      <c r="I77" s="224">
        <f>活動申込!$BK$32</f>
        <v>0</v>
      </c>
    </row>
    <row r="78" spans="1:9">
      <c r="A78">
        <v>78</v>
      </c>
      <c r="B78" s="898"/>
      <c r="C78" s="891"/>
      <c r="D78" s="216" t="s">
        <v>11</v>
      </c>
      <c r="E78" s="224">
        <f>活動申込!$C$33</f>
        <v>0</v>
      </c>
      <c r="F78" s="224">
        <f>活動申込!$R$33</f>
        <v>0</v>
      </c>
      <c r="G78" s="224">
        <f>活動申込!$AG$33</f>
        <v>0</v>
      </c>
      <c r="H78" s="224">
        <f>活動申込!$AV$33</f>
        <v>0</v>
      </c>
      <c r="I78" s="224">
        <f>活動申込!$BK$33</f>
        <v>0</v>
      </c>
    </row>
    <row r="79" spans="1:9">
      <c r="A79">
        <v>79</v>
      </c>
      <c r="B79" s="898"/>
      <c r="C79" s="891"/>
      <c r="D79" s="216" t="s">
        <v>12</v>
      </c>
      <c r="E79" s="224">
        <f>活動申込!$C$34</f>
        <v>0</v>
      </c>
      <c r="F79" s="224">
        <f>活動申込!$R$34</f>
        <v>0</v>
      </c>
      <c r="G79" s="224">
        <f>活動申込!$AG$34</f>
        <v>0</v>
      </c>
      <c r="H79" s="224">
        <f>活動申込!$AV$34</f>
        <v>0</v>
      </c>
      <c r="I79" s="224">
        <f>活動申込!$BK$34</f>
        <v>0</v>
      </c>
    </row>
    <row r="80" spans="1:9">
      <c r="A80">
        <v>80</v>
      </c>
      <c r="B80" s="898"/>
      <c r="C80" s="891"/>
      <c r="D80" s="216" t="s">
        <v>13</v>
      </c>
      <c r="E80" s="224">
        <f>活動申込!$C$35</f>
        <v>0</v>
      </c>
      <c r="F80" s="224">
        <f>活動申込!$R$35</f>
        <v>0</v>
      </c>
      <c r="G80" s="224">
        <f>活動申込!$AG$35</f>
        <v>0</v>
      </c>
      <c r="H80" s="224">
        <f>活動申込!$AV$35</f>
        <v>0</v>
      </c>
      <c r="I80" s="224">
        <f>活動申込!$BK$35</f>
        <v>0</v>
      </c>
    </row>
    <row r="81" spans="1:9">
      <c r="A81">
        <v>81</v>
      </c>
      <c r="B81" s="898"/>
      <c r="C81" s="891"/>
      <c r="D81" s="216" t="s">
        <v>14</v>
      </c>
      <c r="E81" s="224">
        <f>活動申込!$C$36</f>
        <v>0</v>
      </c>
      <c r="F81" s="224">
        <f>活動申込!$R$36</f>
        <v>0</v>
      </c>
      <c r="G81" s="224">
        <f>活動申込!$AG$36</f>
        <v>0</v>
      </c>
      <c r="H81" s="224">
        <f>活動申込!$AV$36</f>
        <v>0</v>
      </c>
      <c r="I81" s="224">
        <f>活動申込!$BK$36</f>
        <v>0</v>
      </c>
    </row>
    <row r="82" spans="1:9" ht="13.5" customHeight="1">
      <c r="A82">
        <v>82</v>
      </c>
      <c r="B82" s="898"/>
      <c r="C82" s="891"/>
      <c r="D82" s="216" t="s">
        <v>22</v>
      </c>
      <c r="E82" s="224">
        <f>活動申込!$C$37</f>
        <v>0</v>
      </c>
      <c r="F82" s="224">
        <f>活動申込!$R$37</f>
        <v>0</v>
      </c>
      <c r="G82" s="224">
        <f>活動申込!$AG$37</f>
        <v>0</v>
      </c>
      <c r="H82" s="224">
        <f>活動申込!$AV$37</f>
        <v>0</v>
      </c>
      <c r="I82" s="224">
        <f>活動申込!$BK$37</f>
        <v>0</v>
      </c>
    </row>
    <row r="83" spans="1:9" ht="13.5" customHeight="1">
      <c r="A83">
        <v>83</v>
      </c>
      <c r="B83" s="898"/>
      <c r="C83" s="895" t="s">
        <v>275</v>
      </c>
      <c r="D83" s="216" t="s">
        <v>349</v>
      </c>
      <c r="E83" s="224">
        <f>活動申込!$C$38</f>
        <v>0</v>
      </c>
      <c r="F83" s="224">
        <f>活動申込!$R$38</f>
        <v>0</v>
      </c>
      <c r="G83" s="224">
        <f>活動申込!$AG$38</f>
        <v>0</v>
      </c>
      <c r="H83" s="224">
        <f>活動申込!$AV$38</f>
        <v>0</v>
      </c>
      <c r="I83" s="224">
        <f>活動申込!$BK$38</f>
        <v>0</v>
      </c>
    </row>
    <row r="84" spans="1:9" ht="13.5" customHeight="1">
      <c r="A84">
        <v>84</v>
      </c>
      <c r="B84" s="898"/>
      <c r="C84" s="896"/>
      <c r="D84" s="216" t="s">
        <v>350</v>
      </c>
      <c r="E84" s="224">
        <f>活動申込!$C$39</f>
        <v>0</v>
      </c>
      <c r="F84" s="224">
        <f>活動申込!$R$39</f>
        <v>0</v>
      </c>
      <c r="G84" s="224">
        <f>活動申込!$AG$39</f>
        <v>0</v>
      </c>
      <c r="H84" s="224">
        <f>活動申込!$AV$39</f>
        <v>0</v>
      </c>
      <c r="I84" s="224">
        <f>活動申込!$BK$39</f>
        <v>0</v>
      </c>
    </row>
    <row r="85" spans="1:9" ht="13.5" customHeight="1">
      <c r="A85">
        <v>85</v>
      </c>
      <c r="B85" s="898"/>
      <c r="C85" s="896"/>
      <c r="D85" s="216" t="s">
        <v>351</v>
      </c>
      <c r="E85" s="224">
        <f>活動申込!$C$40</f>
        <v>0</v>
      </c>
      <c r="F85" s="224">
        <f>活動申込!$R$40</f>
        <v>0</v>
      </c>
      <c r="G85" s="224">
        <f>活動申込!$AG$40</f>
        <v>0</v>
      </c>
      <c r="H85" s="224">
        <f>活動申込!$AV$40</f>
        <v>0</v>
      </c>
      <c r="I85" s="224">
        <f>活動申込!$BK$40</f>
        <v>0</v>
      </c>
    </row>
    <row r="86" spans="1:9" ht="13.5" customHeight="1">
      <c r="A86">
        <v>86</v>
      </c>
      <c r="B86" s="898"/>
      <c r="C86" s="897"/>
      <c r="D86" s="216" t="s">
        <v>352</v>
      </c>
      <c r="E86" s="224">
        <f>活動申込!$C$41</f>
        <v>0</v>
      </c>
      <c r="F86" s="224">
        <f>活動申込!$R$41</f>
        <v>0</v>
      </c>
      <c r="G86" s="224">
        <f>活動申込!$AG$41</f>
        <v>0</v>
      </c>
      <c r="H86" s="224">
        <f>活動申込!$AV$41</f>
        <v>0</v>
      </c>
      <c r="I86" s="224">
        <f>活動申込!$BK$41</f>
        <v>0</v>
      </c>
    </row>
    <row r="87" spans="1:9" ht="13.5" customHeight="1">
      <c r="A87">
        <v>87</v>
      </c>
      <c r="B87" s="898"/>
      <c r="C87" s="891" t="s">
        <v>344</v>
      </c>
      <c r="D87" s="223" t="s">
        <v>353</v>
      </c>
      <c r="E87" s="224">
        <f>活動申込!$C$42</f>
        <v>0</v>
      </c>
      <c r="F87" s="224">
        <f>活動申込!$R$42</f>
        <v>0</v>
      </c>
      <c r="G87" s="224">
        <f>活動申込!$AG$42</f>
        <v>0</v>
      </c>
      <c r="H87" s="224">
        <f>活動申込!$AV$42</f>
        <v>0</v>
      </c>
      <c r="I87" s="224">
        <f>活動申込!$BK$42</f>
        <v>0</v>
      </c>
    </row>
    <row r="88" spans="1:9">
      <c r="A88">
        <v>88</v>
      </c>
      <c r="B88" s="898"/>
      <c r="C88" s="891"/>
      <c r="D88" s="223" t="s">
        <v>354</v>
      </c>
      <c r="E88" s="224">
        <f>活動申込!$C$43</f>
        <v>0</v>
      </c>
      <c r="F88" s="224">
        <f>活動申込!$R$43</f>
        <v>0</v>
      </c>
      <c r="G88" s="224">
        <f>活動申込!$AG$43</f>
        <v>0</v>
      </c>
      <c r="H88" s="224">
        <f>活動申込!$AV$43</f>
        <v>0</v>
      </c>
      <c r="I88" s="224">
        <f>活動申込!$BK$43</f>
        <v>0</v>
      </c>
    </row>
    <row r="89" spans="1:9">
      <c r="A89">
        <v>89</v>
      </c>
      <c r="B89" s="898"/>
      <c r="C89" s="891"/>
      <c r="D89" s="223" t="s">
        <v>355</v>
      </c>
      <c r="E89" s="224">
        <f>活動申込!$C$44</f>
        <v>0</v>
      </c>
      <c r="F89" s="224">
        <f>活動申込!$R$44</f>
        <v>0</v>
      </c>
      <c r="G89" s="224">
        <f>活動申込!$AG$44</f>
        <v>0</v>
      </c>
      <c r="H89" s="224">
        <f>活動申込!$AV$44</f>
        <v>0</v>
      </c>
      <c r="I89" s="224">
        <f>活動申込!$BK$44</f>
        <v>0</v>
      </c>
    </row>
    <row r="90" spans="1:9">
      <c r="A90">
        <v>90</v>
      </c>
      <c r="B90" s="898"/>
      <c r="C90" s="891"/>
      <c r="D90" s="223" t="s">
        <v>356</v>
      </c>
      <c r="E90" s="224">
        <f>活動申込!$C$45</f>
        <v>0</v>
      </c>
      <c r="F90" s="224">
        <f>活動申込!$R$45</f>
        <v>0</v>
      </c>
      <c r="G90" s="224">
        <f>活動申込!$AG$45</f>
        <v>0</v>
      </c>
      <c r="H90" s="224">
        <f>活動申込!$AV$45</f>
        <v>0</v>
      </c>
      <c r="I90" s="224">
        <f>活動申込!$BK$45</f>
        <v>0</v>
      </c>
    </row>
    <row r="91" spans="1:9">
      <c r="A91">
        <v>91</v>
      </c>
      <c r="B91" s="1132" t="s">
        <v>324</v>
      </c>
      <c r="C91" s="888"/>
      <c r="D91" s="241" t="s">
        <v>322</v>
      </c>
      <c r="E91" s="224">
        <f>活動申込!N14</f>
        <v>0</v>
      </c>
      <c r="F91" s="229"/>
      <c r="G91" s="229"/>
      <c r="H91" s="229"/>
      <c r="I91" s="229"/>
    </row>
    <row r="92" spans="1:9">
      <c r="A92">
        <v>92</v>
      </c>
      <c r="B92" s="1133"/>
      <c r="C92" s="890"/>
      <c r="D92" s="241" t="s">
        <v>323</v>
      </c>
      <c r="E92" s="224">
        <f>活動申込!C19</f>
        <v>0</v>
      </c>
      <c r="F92" s="237"/>
      <c r="G92" s="224">
        <f>活動申込!AG19</f>
        <v>0</v>
      </c>
      <c r="H92" s="224">
        <f>活動申込!AV19</f>
        <v>0</v>
      </c>
      <c r="I92" s="224">
        <f>活動申込!BK19</f>
        <v>0</v>
      </c>
    </row>
    <row r="93" spans="1:9">
      <c r="A93">
        <v>93</v>
      </c>
      <c r="B93" s="1133"/>
      <c r="C93" s="890"/>
      <c r="D93" s="241" t="s">
        <v>345</v>
      </c>
      <c r="E93" s="224">
        <f>活動申込!$H$38</f>
        <v>0</v>
      </c>
      <c r="F93" s="224">
        <f>活動申込!$W$38</f>
        <v>0</v>
      </c>
      <c r="G93" s="224">
        <f>活動申込!$AL$38</f>
        <v>0</v>
      </c>
      <c r="H93" s="224">
        <f>活動申込!$BA$38</f>
        <v>0</v>
      </c>
      <c r="I93" s="224">
        <f>活動申込!$BP$38</f>
        <v>0</v>
      </c>
    </row>
    <row r="94" spans="1:9">
      <c r="A94">
        <v>94</v>
      </c>
      <c r="B94" s="1133"/>
      <c r="C94" s="890"/>
      <c r="D94" s="241" t="s">
        <v>346</v>
      </c>
      <c r="E94" s="224">
        <f>活動申込!$H$39</f>
        <v>0</v>
      </c>
      <c r="F94" s="224">
        <f>活動申込!$W$39</f>
        <v>0</v>
      </c>
      <c r="G94" s="224">
        <f>活動申込!$AL$39</f>
        <v>0</v>
      </c>
      <c r="H94" s="224">
        <f>活動申込!$BA$39</f>
        <v>0</v>
      </c>
      <c r="I94" s="224">
        <f>活動申込!$BP$39</f>
        <v>0</v>
      </c>
    </row>
    <row r="95" spans="1:9">
      <c r="A95">
        <v>95</v>
      </c>
      <c r="B95" s="1133"/>
      <c r="C95" s="890"/>
      <c r="D95" s="241" t="s">
        <v>347</v>
      </c>
      <c r="E95" s="224">
        <f>活動申込!$H$40</f>
        <v>0</v>
      </c>
      <c r="F95" s="224">
        <f>活動申込!$W$40</f>
        <v>0</v>
      </c>
      <c r="G95" s="224">
        <f>活動申込!$AL$40</f>
        <v>0</v>
      </c>
      <c r="H95" s="224">
        <f>活動申込!$BA$40</f>
        <v>0</v>
      </c>
      <c r="I95" s="224">
        <f>活動申込!$BP$40</f>
        <v>0</v>
      </c>
    </row>
    <row r="96" spans="1:9">
      <c r="A96">
        <v>96</v>
      </c>
      <c r="B96" s="1134"/>
      <c r="C96" s="1135"/>
      <c r="D96" s="241" t="s">
        <v>348</v>
      </c>
      <c r="E96" s="224">
        <f>活動申込!$H$41</f>
        <v>0</v>
      </c>
      <c r="F96" s="224">
        <f>活動申込!$W$41</f>
        <v>0</v>
      </c>
      <c r="G96" s="224">
        <f>活動申込!$AL$41</f>
        <v>0</v>
      </c>
      <c r="H96" s="224">
        <f>活動申込!$BA$41</f>
        <v>0</v>
      </c>
      <c r="I96" s="224">
        <f>活動申込!$BP$41</f>
        <v>0</v>
      </c>
    </row>
    <row r="97" spans="1:9">
      <c r="A97">
        <v>97</v>
      </c>
      <c r="B97" s="1"/>
      <c r="C97" s="1131" t="s">
        <v>299</v>
      </c>
      <c r="D97" s="241" t="s">
        <v>345</v>
      </c>
      <c r="E97" s="224" t="str">
        <f>IF(活動申込!$B$42="","",活動申込!$C$42)</f>
        <v/>
      </c>
      <c r="F97" s="224" t="str">
        <f>IF(活動申込!$Q$42="","",活動申込!$R$42)</f>
        <v/>
      </c>
      <c r="G97" s="224" t="str">
        <f>IF(活動申込!$AF$42="","",活動申込!$AH$42)</f>
        <v/>
      </c>
      <c r="H97" s="224" t="str">
        <f>IF(活動申込!$AU$42="","",活動申込!$AV$42)</f>
        <v/>
      </c>
      <c r="I97" s="224" t="str">
        <f>IF(活動申込!$BJ$42="","",活動申込!$BK$42)</f>
        <v/>
      </c>
    </row>
    <row r="98" spans="1:9">
      <c r="A98">
        <v>98</v>
      </c>
      <c r="B98" s="1"/>
      <c r="C98" s="1131"/>
      <c r="D98" s="241" t="s">
        <v>346</v>
      </c>
      <c r="E98" s="224" t="str">
        <f>IF(活動申込!$B$43="","",活動申込!$C$43)</f>
        <v/>
      </c>
      <c r="F98" s="224" t="str">
        <f>IF(活動申込!$Q$43="","",活動申込!$R$43)</f>
        <v/>
      </c>
      <c r="G98" s="224" t="str">
        <f>IF(活動申込!$AF$43="","",活動申込!$AH$43)</f>
        <v/>
      </c>
      <c r="H98" s="224" t="str">
        <f>IF(活動申込!$AU$43="","",活動申込!$AV$43)</f>
        <v/>
      </c>
      <c r="I98" s="224" t="str">
        <f>IF(活動申込!$BJ$43="","",活動申込!$BK$43)</f>
        <v/>
      </c>
    </row>
    <row r="99" spans="1:9">
      <c r="A99">
        <v>99</v>
      </c>
      <c r="B99" s="1"/>
      <c r="C99" s="1131"/>
      <c r="D99" s="241" t="s">
        <v>347</v>
      </c>
      <c r="E99" s="224" t="str">
        <f>IF(活動申込!$B$44="","",活動申込!$C$44)</f>
        <v/>
      </c>
      <c r="F99" s="224" t="str">
        <f>IF(活動申込!$Q$44="","",活動申込!$R$44)</f>
        <v/>
      </c>
      <c r="G99" s="224" t="str">
        <f>IF(活動申込!$AF$44="","",活動申込!$AH$44)</f>
        <v/>
      </c>
      <c r="H99" s="224" t="str">
        <f>IF(活動申込!$AU$44="","",活動申込!$AV$44)</f>
        <v/>
      </c>
      <c r="I99" s="224" t="str">
        <f>IF(活動申込!$BJ$44="","",活動申込!$BK$44)</f>
        <v/>
      </c>
    </row>
    <row r="100" spans="1:9">
      <c r="A100">
        <v>100</v>
      </c>
      <c r="B100" s="1"/>
      <c r="C100" s="1131"/>
      <c r="D100" s="241" t="s">
        <v>348</v>
      </c>
      <c r="E100" s="224" t="str">
        <f>IF(活動申込!$B$45="","",活動申込!$C$45)</f>
        <v/>
      </c>
      <c r="F100" s="224" t="str">
        <f>IF(活動申込!$Q$45="","",活動申込!$R$45)</f>
        <v/>
      </c>
      <c r="G100" s="224" t="str">
        <f>IF(活動申込!$AF$45="","",活動申込!$AH$45)</f>
        <v/>
      </c>
      <c r="H100" s="224" t="str">
        <f>IF(活動申込!$AU$45="","",活動申込!$AV$45)</f>
        <v/>
      </c>
      <c r="I100" s="224" t="str">
        <f>IF(活動申込!$BJ$45="","",活動申込!$BK$45)</f>
        <v/>
      </c>
    </row>
    <row r="101" spans="1:9">
      <c r="A101">
        <v>101</v>
      </c>
      <c r="B101" s="1"/>
      <c r="C101" s="1131" t="s">
        <v>17</v>
      </c>
      <c r="D101" s="241" t="s">
        <v>345</v>
      </c>
      <c r="E101" s="1" t="str">
        <f>IF(活動申込!$B$42="","",活動申込!$F$42)</f>
        <v/>
      </c>
      <c r="F101" s="1" t="str">
        <f>IF(活動申込!$Q$42="","",活動申込!$U$42)</f>
        <v/>
      </c>
      <c r="G101" s="1" t="str">
        <f>IF(活動申込!$AF$42="","",活動申込!$AJ$42)</f>
        <v/>
      </c>
      <c r="H101" s="1" t="str">
        <f>IF(活動申込!$AU$42="","",活動申込!$AY$42)</f>
        <v/>
      </c>
      <c r="I101" s="1" t="str">
        <f>IF(活動申込!$BJ$42="","",活動申込!$BN$42)</f>
        <v/>
      </c>
    </row>
    <row r="102" spans="1:9">
      <c r="A102">
        <v>102</v>
      </c>
      <c r="B102" s="1"/>
      <c r="C102" s="1131"/>
      <c r="D102" s="241" t="s">
        <v>346</v>
      </c>
      <c r="E102" s="1" t="str">
        <f>IF(活動申込!$B$43="","",活動申込!$F$43)</f>
        <v/>
      </c>
      <c r="F102" s="1" t="str">
        <f>IF(活動申込!$Q$43="","",活動申込!$U$43)</f>
        <v/>
      </c>
      <c r="G102" s="1" t="str">
        <f>IF(活動申込!$AF$43="","",活動申込!$AJ$43)</f>
        <v/>
      </c>
      <c r="H102" s="1" t="str">
        <f>IF(活動申込!$AU$43="","",活動申込!$AY$43)</f>
        <v/>
      </c>
      <c r="I102" s="1" t="str">
        <f>IF(活動申込!$BJ$43="","",活動申込!$BN$43)</f>
        <v/>
      </c>
    </row>
    <row r="103" spans="1:9">
      <c r="A103">
        <v>103</v>
      </c>
      <c r="B103" s="1"/>
      <c r="C103" s="1131"/>
      <c r="D103" s="241" t="s">
        <v>347</v>
      </c>
      <c r="E103" s="1" t="str">
        <f>IF(活動申込!$B$44="","",活動申込!$F$44)</f>
        <v/>
      </c>
      <c r="F103" s="1" t="str">
        <f>IF(活動申込!$Q$44="","",活動申込!$U$44)</f>
        <v/>
      </c>
      <c r="G103" s="1" t="str">
        <f>IF(活動申込!$AF$44="","",活動申込!$AJ$44)</f>
        <v/>
      </c>
      <c r="H103" s="1" t="str">
        <f>IF(活動申込!$AU$44="","",活動申込!$AY$44)</f>
        <v/>
      </c>
      <c r="I103" s="1" t="str">
        <f>IF(活動申込!$BJ$44="","",活動申込!$BN$44)</f>
        <v/>
      </c>
    </row>
    <row r="104" spans="1:9">
      <c r="A104">
        <v>104</v>
      </c>
      <c r="B104" s="1"/>
      <c r="C104" s="1131"/>
      <c r="D104" s="241" t="s">
        <v>348</v>
      </c>
      <c r="E104" s="1" t="str">
        <f>IF(活動申込!$B$45="","",活動申込!$F$45)</f>
        <v/>
      </c>
      <c r="F104" s="1" t="str">
        <f>IF(活動申込!$Q$45="","",活動申込!$U$45)</f>
        <v/>
      </c>
      <c r="G104" s="1" t="str">
        <f>IF(活動申込!$AF$45="","",活動申込!$AJ$45)</f>
        <v/>
      </c>
      <c r="H104" s="1" t="str">
        <f>IF(活動申込!$AU$45="","",活動申込!$AY$45)</f>
        <v/>
      </c>
      <c r="I104" s="1" t="str">
        <f>IF(活動申込!$BJ$45="","",活動申込!$BN$45)</f>
        <v/>
      </c>
    </row>
  </sheetData>
  <mergeCells count="23">
    <mergeCell ref="C101:C104"/>
    <mergeCell ref="B5:B47"/>
    <mergeCell ref="B48:B90"/>
    <mergeCell ref="C63:C64"/>
    <mergeCell ref="C65:C68"/>
    <mergeCell ref="C69:C74"/>
    <mergeCell ref="C76:C82"/>
    <mergeCell ref="C87:C90"/>
    <mergeCell ref="C48:C51"/>
    <mergeCell ref="C54:C56"/>
    <mergeCell ref="C57:C59"/>
    <mergeCell ref="C5:C8"/>
    <mergeCell ref="C20:C21"/>
    <mergeCell ref="C44:C47"/>
    <mergeCell ref="C11:C13"/>
    <mergeCell ref="C33:C39"/>
    <mergeCell ref="C26:C31"/>
    <mergeCell ref="C97:C100"/>
    <mergeCell ref="C22:C25"/>
    <mergeCell ref="C14:C16"/>
    <mergeCell ref="C40:C43"/>
    <mergeCell ref="C83:C86"/>
    <mergeCell ref="B91:C9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ColWidth="9" defaultRowHeight="17.25"/>
  <cols>
    <col min="1" max="1" width="3.75" style="158" bestFit="1" customWidth="1"/>
    <col min="2" max="2" width="14.25" style="158" bestFit="1" customWidth="1"/>
    <col min="3" max="3" width="9.125" style="158" bestFit="1" customWidth="1"/>
    <col min="4" max="4" width="6.75" style="158" bestFit="1" customWidth="1"/>
    <col min="5" max="6" width="9.125" style="158" bestFit="1" customWidth="1"/>
    <col min="7" max="7" width="11.625" style="158" bestFit="1" customWidth="1"/>
    <col min="8" max="10" width="6.75" style="158" bestFit="1" customWidth="1"/>
    <col min="11" max="11" width="9.125" style="158" bestFit="1" customWidth="1"/>
    <col min="12" max="13" width="4.375" style="158" bestFit="1" customWidth="1"/>
    <col min="14" max="17" width="9.125" style="158" bestFit="1" customWidth="1"/>
    <col min="18" max="22" width="6.75" style="158" bestFit="1" customWidth="1"/>
    <col min="23" max="24" width="15.5" style="158" bestFit="1" customWidth="1"/>
    <col min="25" max="25" width="11.625" style="158" bestFit="1" customWidth="1"/>
    <col min="26" max="26" width="9.125" style="158" bestFit="1" customWidth="1"/>
    <col min="27" max="27" width="31.125" style="158" bestFit="1" customWidth="1"/>
    <col min="28" max="30" width="10.5" style="158" bestFit="1" customWidth="1"/>
    <col min="31" max="31" width="9" style="158"/>
    <col min="32" max="32" width="4" style="158" bestFit="1" customWidth="1"/>
    <col min="33" max="33" width="3.75" style="158" bestFit="1" customWidth="1"/>
    <col min="34" max="35" width="3.875" style="158" bestFit="1" customWidth="1"/>
    <col min="36" max="36" width="4" style="158" bestFit="1" customWidth="1"/>
    <col min="37" max="37" width="3.75" style="158" bestFit="1" customWidth="1"/>
    <col min="38" max="38" width="3.875" style="158" bestFit="1" customWidth="1"/>
    <col min="39" max="39" width="10.25" style="158" bestFit="1" customWidth="1"/>
    <col min="40" max="41" width="9.125" style="158" bestFit="1" customWidth="1"/>
    <col min="42" max="42" width="11.625" style="158" bestFit="1" customWidth="1"/>
    <col min="43" max="43" width="14.25" style="158" bestFit="1" customWidth="1"/>
    <col min="44" max="45" width="9.125" style="158" bestFit="1" customWidth="1"/>
    <col min="46" max="46" width="9.125" style="158" customWidth="1"/>
    <col min="47" max="47" width="32.625" style="158" bestFit="1" customWidth="1"/>
    <col min="48" max="48" width="10.25" style="158" bestFit="1" customWidth="1"/>
    <col min="49" max="16384" width="9" style="158"/>
  </cols>
  <sheetData>
    <row r="1" spans="1:47" ht="18" thickBot="1">
      <c r="AB1" s="1137" t="s">
        <v>257</v>
      </c>
      <c r="AC1" s="1137"/>
      <c r="AD1" s="1137"/>
      <c r="AE1" s="1137"/>
      <c r="AJ1" s="1137" t="s">
        <v>258</v>
      </c>
      <c r="AK1" s="1137"/>
      <c r="AL1" s="1137"/>
      <c r="AM1" s="1137"/>
      <c r="AN1" s="159" t="s">
        <v>251</v>
      </c>
      <c r="AO1" s="160" t="s">
        <v>252</v>
      </c>
      <c r="AP1" s="160" t="s">
        <v>358</v>
      </c>
      <c r="AQ1" s="160" t="s">
        <v>253</v>
      </c>
      <c r="AR1" s="160" t="s">
        <v>254</v>
      </c>
      <c r="AS1" s="160" t="s">
        <v>255</v>
      </c>
      <c r="AT1" s="160" t="s">
        <v>275</v>
      </c>
      <c r="AU1" s="160" t="s">
        <v>256</v>
      </c>
    </row>
    <row r="2" spans="1:47" ht="18" thickBot="1">
      <c r="A2" s="198"/>
      <c r="B2" s="199" t="s">
        <v>235</v>
      </c>
      <c r="C2" s="200" t="s">
        <v>236</v>
      </c>
      <c r="D2" s="201" t="s">
        <v>237</v>
      </c>
      <c r="E2" s="201" t="s">
        <v>238</v>
      </c>
      <c r="F2" s="201" t="s">
        <v>239</v>
      </c>
      <c r="G2" s="200" t="s">
        <v>240</v>
      </c>
      <c r="H2" s="200" t="s">
        <v>241</v>
      </c>
      <c r="I2" s="202" t="s">
        <v>242</v>
      </c>
      <c r="J2" s="201" t="s">
        <v>243</v>
      </c>
      <c r="K2" s="201" t="s">
        <v>244</v>
      </c>
      <c r="L2" s="201" t="s">
        <v>245</v>
      </c>
      <c r="M2" s="201" t="s">
        <v>246</v>
      </c>
      <c r="N2" s="201" t="s">
        <v>247</v>
      </c>
      <c r="O2" s="201" t="s">
        <v>248</v>
      </c>
      <c r="P2" s="203" t="s">
        <v>249</v>
      </c>
      <c r="Q2" s="1136" t="s">
        <v>250</v>
      </c>
      <c r="R2" s="1136"/>
      <c r="S2" s="204" t="s">
        <v>251</v>
      </c>
      <c r="T2" s="205" t="s">
        <v>252</v>
      </c>
      <c r="U2" s="205" t="s">
        <v>358</v>
      </c>
      <c r="V2" s="205" t="s">
        <v>253</v>
      </c>
      <c r="W2" s="205" t="s">
        <v>254</v>
      </c>
      <c r="X2" s="205" t="s">
        <v>255</v>
      </c>
      <c r="Y2" s="206" t="s">
        <v>275</v>
      </c>
      <c r="Z2" s="207"/>
    </row>
    <row r="3" spans="1:47" ht="18" thickBot="1">
      <c r="A3" s="187">
        <f>ROW(A3)-3</f>
        <v>0</v>
      </c>
      <c r="B3" s="188">
        <f ca="1">TODAY()</f>
        <v>46152</v>
      </c>
      <c r="C3" s="189">
        <f>宿泊者名簿!A7</f>
        <v>0</v>
      </c>
      <c r="D3" s="190">
        <f>宿泊者名簿!I7</f>
        <v>0</v>
      </c>
      <c r="E3" s="190">
        <f>宿泊者名簿!D8</f>
        <v>0</v>
      </c>
      <c r="F3" s="190">
        <f>宿泊者名簿!D10</f>
        <v>0</v>
      </c>
      <c r="G3" s="191">
        <f>宿泊者名簿!D11</f>
        <v>0</v>
      </c>
      <c r="H3" s="192">
        <f>宿泊者名簿!I11</f>
        <v>0</v>
      </c>
      <c r="I3" s="192">
        <f>宿泊者名簿!I8</f>
        <v>0</v>
      </c>
      <c r="J3" s="190">
        <f>宿泊者名簿!J7</f>
        <v>0</v>
      </c>
      <c r="K3" s="190">
        <f>宿泊者名簿!K7</f>
        <v>0</v>
      </c>
      <c r="L3" s="190">
        <f>宿泊者名簿!R16</f>
        <v>0</v>
      </c>
      <c r="M3" s="190">
        <f>宿泊者名簿!R17</f>
        <v>0</v>
      </c>
      <c r="N3" s="190">
        <f>宿泊者名簿!N16</f>
        <v>0</v>
      </c>
      <c r="O3" s="190">
        <f>宿泊者名簿!N17</f>
        <v>0</v>
      </c>
      <c r="P3" s="193">
        <f>宿泊者名簿!D12</f>
        <v>0</v>
      </c>
      <c r="Q3" s="194">
        <f>DATE(宿泊者名簿!M6+2018,宿泊者名簿!P6,宿泊者名簿!R6)</f>
        <v>43069</v>
      </c>
      <c r="R3" s="194">
        <f>Q3+宿泊者名簿!M9</f>
        <v>43069</v>
      </c>
      <c r="S3" s="195" t="str">
        <f>IF(AN4=TRUE,"◎","")</f>
        <v/>
      </c>
      <c r="T3" s="193" t="str">
        <f>IF(COUNTIF(宿泊者名簿!$J$12:$S$12,T2)&gt;0,"◎","")</f>
        <v/>
      </c>
      <c r="U3" s="193" t="str">
        <f>IF(COUNTIF(宿泊者名簿!$J$12:$S$12,U2)&gt;0,"◎","")</f>
        <v/>
      </c>
      <c r="V3" s="193" t="str">
        <f>IF(COUNTIF(宿泊者名簿!$J$12:$S$12,V2)&gt;0,"◎","")</f>
        <v/>
      </c>
      <c r="W3" s="193" t="str">
        <f>IF(COUNTIF(宿泊者名簿!$J$12:$S$12,W2)&gt;0,"◎","")</f>
        <v/>
      </c>
      <c r="X3" s="193" t="str">
        <f>IF(COUNTIF(宿泊者名簿!$J$12:$S$12,X2)&gt;0,"◎","")</f>
        <v/>
      </c>
      <c r="Y3" s="196"/>
      <c r="Z3" s="197" t="s">
        <v>234</v>
      </c>
      <c r="AA3" s="158" t="e">
        <f>C3&amp;" ("&amp;#REF!&amp;")"&amp;#REF!&amp;"/"&amp;#REF!</f>
        <v>#REF!</v>
      </c>
    </row>
    <row r="4" spans="1:47">
      <c r="AB4" s="161" t="b">
        <v>1</v>
      </c>
      <c r="AC4" s="161" t="b">
        <v>1</v>
      </c>
      <c r="AD4" s="161" t="b">
        <v>1</v>
      </c>
      <c r="AE4" s="161" t="b">
        <v>1</v>
      </c>
      <c r="AN4" s="158" t="b">
        <v>0</v>
      </c>
      <c r="AO4" s="158" t="b">
        <v>1</v>
      </c>
      <c r="AP4" s="158" t="b">
        <v>1</v>
      </c>
      <c r="AQ4" s="158" t="b">
        <v>0</v>
      </c>
      <c r="AR4" s="158" t="b">
        <v>0</v>
      </c>
      <c r="AS4" s="158" t="b">
        <v>0</v>
      </c>
    </row>
    <row r="5" spans="1:47" s="4" customFormat="1" ht="22.5" customHeight="1"/>
  </sheetData>
  <mergeCells count="3">
    <mergeCell ref="Q2:R2"/>
    <mergeCell ref="AB1:AE1"/>
    <mergeCell ref="AJ1:AM1"/>
  </mergeCells>
  <phoneticPr fontId="1"/>
  <conditionalFormatting sqref="D3 J3:K3">
    <cfRule type="containsBlanks" dxfId="11" priority="3">
      <formula>LEN(TRIM(D3))=0</formula>
    </cfRule>
  </conditionalFormatting>
  <conditionalFormatting sqref="N3:O3">
    <cfRule type="containsBlanks" dxfId="1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宿泊者名簿</vt:lpstr>
      <vt:lpstr>宿泊者内訳</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宿泊者内訳!Print_Area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2026-05-10T01:59:40Z</cp:lastPrinted>
  <dcterms:created xsi:type="dcterms:W3CDTF">2024-02-15T03:49:09Z</dcterms:created>
  <dcterms:modified xsi:type="dcterms:W3CDTF">2026-05-10T03:56:49Z</dcterms:modified>
</cp:coreProperties>
</file>